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Admin\a-KERIUS Suisse\Collaborateur\z-all\ECRITURE DE SALAIRE BEXIO-SUIVI\2025\"/>
    </mc:Choice>
  </mc:AlternateContent>
  <xr:revisionPtr revIDLastSave="0" documentId="13_ncr:1_{3F25E55F-C7DC-4C17-B055-979366260FA9}" xr6:coauthVersionLast="47" xr6:coauthVersionMax="47" xr10:uidLastSave="{00000000-0000-0000-0000-000000000000}"/>
  <bookViews>
    <workbookView xWindow="0" yWindow="300" windowWidth="29040" windowHeight="15840" tabRatio="793" firstSheet="11" activeTab="11" xr2:uid="{98BD2D05-B982-4065-B0EF-F91EB5C0396F}"/>
  </bookViews>
  <sheets>
    <sheet name="Janv 2025" sheetId="1" r:id="rId1"/>
    <sheet name="Fév 2025" sheetId="24" r:id="rId2"/>
    <sheet name="Mars 2025" sheetId="25" r:id="rId3"/>
    <sheet name="Avril 2025" sheetId="26" r:id="rId4"/>
    <sheet name="Mai 2025" sheetId="27" r:id="rId5"/>
    <sheet name="Juin 2025" sheetId="28" r:id="rId6"/>
    <sheet name="Juil 2025" sheetId="29" r:id="rId7"/>
    <sheet name="Août 2025" sheetId="30" r:id="rId8"/>
    <sheet name="Sept 2025" sheetId="31" r:id="rId9"/>
    <sheet name="Oct 2025" sheetId="32" r:id="rId10"/>
    <sheet name="Nov 2025" sheetId="33" r:id="rId11"/>
    <sheet name="Dec 2025" sheetId="34" r:id="rId12"/>
    <sheet name="Salaires bruts" sheetId="4" r:id="rId13"/>
    <sheet name="Primes" sheetId="14" r:id="rId14"/>
    <sheet name="AVS AC employés" sheetId="7" r:id="rId15"/>
    <sheet name="AVS AC PP" sheetId="18" r:id="rId16"/>
    <sheet name="AANP - LAA" sheetId="16" r:id="rId17"/>
    <sheet name="AANP - LAA PP" sheetId="35" r:id="rId18"/>
    <sheet name="IJM" sheetId="17" r:id="rId19"/>
    <sheet name="IJM PP" sheetId="36" r:id="rId20"/>
    <sheet name="LPP part patronale" sheetId="12" r:id="rId21"/>
    <sheet name="IS " sheetId="8" r:id="rId22"/>
    <sheet name="Parking" sheetId="19" r:id="rId23"/>
    <sheet name="URSSAF" sheetId="20" r:id="rId24"/>
    <sheet name="Table secteurs" sheetId="3" r:id="rId25"/>
    <sheet name="Tables comptes" sheetId="2" r:id="rId26"/>
  </sheets>
  <definedNames>
    <definedName name="_xlnm._FilterDatabase" localSheetId="25" hidden="1">'Tables comptes'!$A$1:$B$1</definedName>
    <definedName name="_xlnm.Print_Area" localSheetId="7">'Août 2025'!$A$1:$E$60</definedName>
    <definedName name="_xlnm.Print_Area" localSheetId="3">'Avril 2025'!$A$1:$E$60</definedName>
    <definedName name="_xlnm.Print_Area" localSheetId="11">'Dec 2025'!$A$1:$E$60</definedName>
    <definedName name="_xlnm.Print_Area" localSheetId="1">'Fév 2025'!$A$1:$E$60</definedName>
    <definedName name="_xlnm.Print_Area" localSheetId="0">'Janv 2025'!$A$1:$E$60</definedName>
    <definedName name="_xlnm.Print_Area" localSheetId="6">'Juil 2025'!$A$1:$E$60</definedName>
    <definedName name="_xlnm.Print_Area" localSheetId="5">'Juin 2025'!$A$1:$E$60</definedName>
    <definedName name="_xlnm.Print_Area" localSheetId="4">'Mai 2025'!$A$1:$E$60</definedName>
    <definedName name="_xlnm.Print_Area" localSheetId="2">'Mars 2025'!$A$1:$E$60</definedName>
    <definedName name="_xlnm.Print_Area" localSheetId="10">'Nov 2025'!$A$1:$E$60</definedName>
    <definedName name="_xlnm.Print_Area" localSheetId="9">'Oct 2025'!$A$1:$E$60</definedName>
    <definedName name="_xlnm.Print_Area" localSheetId="8">'Sept 2025'!$A$1:$E$60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6" l="1"/>
  <c r="O4" i="35"/>
  <c r="P16" i="7"/>
  <c r="O14" i="35" l="1"/>
  <c r="O13" i="35"/>
  <c r="O12" i="35"/>
  <c r="O7" i="35"/>
  <c r="O6" i="35"/>
  <c r="O3" i="35"/>
  <c r="O14" i="16"/>
  <c r="O12" i="16"/>
  <c r="O7" i="16"/>
  <c r="O6" i="16"/>
  <c r="O4" i="16"/>
  <c r="O3" i="16"/>
  <c r="N3" i="16"/>
  <c r="O19" i="18"/>
  <c r="O18" i="18"/>
  <c r="O17" i="18"/>
  <c r="O12" i="18"/>
  <c r="O11" i="18"/>
  <c r="O9" i="18"/>
  <c r="O8" i="18"/>
  <c r="P30" i="7"/>
  <c r="P10" i="7"/>
  <c r="P14" i="7"/>
  <c r="P28" i="7"/>
  <c r="P26" i="7"/>
  <c r="P8" i="7"/>
  <c r="O16" i="7" l="1"/>
  <c r="O14" i="7"/>
  <c r="N9" i="18"/>
  <c r="O10" i="7"/>
  <c r="N7" i="35"/>
  <c r="N4" i="35"/>
  <c r="N6" i="35"/>
  <c r="N13" i="16"/>
  <c r="N7" i="16"/>
  <c r="N6" i="16"/>
  <c r="N11" i="18"/>
  <c r="N8" i="18"/>
  <c r="N19" i="18"/>
  <c r="N12" i="18"/>
  <c r="N18" i="18"/>
  <c r="N4" i="16"/>
  <c r="N14" i="35"/>
  <c r="N13" i="35"/>
  <c r="N12" i="35"/>
  <c r="N3" i="35"/>
  <c r="N14" i="16"/>
  <c r="N12" i="16"/>
  <c r="N17" i="18"/>
  <c r="O30" i="7"/>
  <c r="O28" i="7"/>
  <c r="O26" i="7"/>
  <c r="O8" i="7"/>
  <c r="N14" i="7"/>
  <c r="N8" i="7"/>
  <c r="N26" i="7"/>
  <c r="M9" i="18" l="1"/>
  <c r="M18" i="18"/>
  <c r="M4" i="16"/>
  <c r="M19" i="18"/>
  <c r="N30" i="7"/>
  <c r="N10" i="7"/>
  <c r="M3" i="35"/>
  <c r="M14" i="35"/>
  <c r="M7" i="35"/>
  <c r="M4" i="35"/>
  <c r="M16" i="35"/>
  <c r="M11" i="18"/>
  <c r="N36" i="7"/>
  <c r="N35" i="7"/>
  <c r="M13" i="35"/>
  <c r="M12" i="35"/>
  <c r="M6" i="35"/>
  <c r="M13" i="16"/>
  <c r="M14" i="16"/>
  <c r="M12" i="16"/>
  <c r="M7" i="16"/>
  <c r="M6" i="16"/>
  <c r="M17" i="18"/>
  <c r="M12" i="18"/>
  <c r="M8" i="18"/>
  <c r="N28" i="7"/>
  <c r="N16" i="7"/>
  <c r="L16" i="17"/>
  <c r="N37" i="7" l="1"/>
  <c r="M35" i="7"/>
  <c r="M39" i="7" s="1"/>
  <c r="L16" i="16" l="1"/>
  <c r="L21" i="18"/>
  <c r="L8" i="18"/>
  <c r="L18" i="18"/>
  <c r="L12" i="18"/>
  <c r="M26" i="7"/>
  <c r="L13" i="35"/>
  <c r="L14" i="35"/>
  <c r="L12" i="35"/>
  <c r="L7" i="35"/>
  <c r="L6" i="35"/>
  <c r="L4" i="35"/>
  <c r="L3" i="35"/>
  <c r="L13" i="16"/>
  <c r="L14" i="16"/>
  <c r="L12" i="16"/>
  <c r="L7" i="16"/>
  <c r="L6" i="16"/>
  <c r="L4" i="16"/>
  <c r="L3" i="16"/>
  <c r="L19" i="18" l="1"/>
  <c r="L17" i="18"/>
  <c r="L11" i="18"/>
  <c r="L9" i="18"/>
  <c r="M28" i="7"/>
  <c r="M10" i="7"/>
  <c r="M30" i="7"/>
  <c r="M16" i="7"/>
  <c r="M14" i="7"/>
  <c r="M8" i="7"/>
  <c r="K18" i="8" l="1"/>
  <c r="L18" i="8"/>
  <c r="M18" i="8"/>
  <c r="N18" i="8"/>
  <c r="K22" i="8"/>
  <c r="L22" i="8"/>
  <c r="M22" i="8"/>
  <c r="N22" i="8"/>
  <c r="C14" i="8"/>
  <c r="C13" i="8"/>
  <c r="D12" i="8"/>
  <c r="E12" i="8"/>
  <c r="F12" i="8"/>
  <c r="G12" i="8"/>
  <c r="H12" i="8"/>
  <c r="I12" i="8"/>
  <c r="J12" i="8"/>
  <c r="K12" i="8"/>
  <c r="L12" i="8"/>
  <c r="M12" i="8"/>
  <c r="N12" i="8"/>
  <c r="C12" i="8"/>
  <c r="O11" i="8"/>
  <c r="K14" i="35"/>
  <c r="K12" i="35"/>
  <c r="K7" i="35"/>
  <c r="K6" i="35"/>
  <c r="K4" i="35"/>
  <c r="K3" i="35"/>
  <c r="K14" i="16"/>
  <c r="K12" i="16"/>
  <c r="K7" i="16"/>
  <c r="K6" i="16"/>
  <c r="K4" i="16"/>
  <c r="K3" i="16"/>
  <c r="K19" i="18"/>
  <c r="K17" i="18"/>
  <c r="K12" i="18"/>
  <c r="K11" i="18"/>
  <c r="K9" i="18"/>
  <c r="K8" i="18"/>
  <c r="L30" i="7"/>
  <c r="L26" i="7"/>
  <c r="L16" i="7"/>
  <c r="L14" i="7"/>
  <c r="L10" i="7"/>
  <c r="L8" i="7"/>
  <c r="K8" i="7"/>
  <c r="J15" i="35"/>
  <c r="J15" i="16"/>
  <c r="J16" i="17"/>
  <c r="J21" i="18"/>
  <c r="J16" i="16"/>
  <c r="K16" i="16"/>
  <c r="J13" i="18"/>
  <c r="J17" i="18"/>
  <c r="J12" i="35"/>
  <c r="J8" i="35"/>
  <c r="J14" i="35"/>
  <c r="J7" i="35"/>
  <c r="J6" i="35"/>
  <c r="J4" i="35"/>
  <c r="J3" i="35"/>
  <c r="J8" i="16"/>
  <c r="J12" i="16"/>
  <c r="J14" i="16"/>
  <c r="J7" i="16"/>
  <c r="J6" i="16"/>
  <c r="J4" i="16"/>
  <c r="J3" i="16"/>
  <c r="J20" i="18"/>
  <c r="J19" i="18"/>
  <c r="J12" i="18"/>
  <c r="J11" i="18"/>
  <c r="J9" i="18"/>
  <c r="J8" i="18"/>
  <c r="K26" i="7"/>
  <c r="K18" i="7"/>
  <c r="K32" i="7"/>
  <c r="K30" i="7"/>
  <c r="K16" i="7"/>
  <c r="K14" i="7"/>
  <c r="K10" i="7"/>
  <c r="J30" i="7" l="1"/>
  <c r="J26" i="7"/>
  <c r="J25" i="7"/>
  <c r="J24" i="7"/>
  <c r="J27" i="7"/>
  <c r="J32" i="7"/>
  <c r="I16" i="18"/>
  <c r="I19" i="18"/>
  <c r="I17" i="18"/>
  <c r="I14" i="16"/>
  <c r="I12" i="16"/>
  <c r="I11" i="16"/>
  <c r="I14" i="35"/>
  <c r="I12" i="35"/>
  <c r="I11" i="35"/>
  <c r="I15" i="35"/>
  <c r="I8" i="35"/>
  <c r="I7" i="35"/>
  <c r="I6" i="35"/>
  <c r="I4" i="35"/>
  <c r="I3" i="35"/>
  <c r="I15" i="16" l="1"/>
  <c r="I8" i="16"/>
  <c r="I7" i="16"/>
  <c r="I6" i="16"/>
  <c r="I4" i="16"/>
  <c r="I3" i="16"/>
  <c r="I20" i="18"/>
  <c r="I13" i="18" l="1"/>
  <c r="I12" i="18"/>
  <c r="I11" i="18"/>
  <c r="I9" i="18"/>
  <c r="I8" i="18"/>
  <c r="H8" i="18"/>
  <c r="J36" i="7"/>
  <c r="J35" i="7"/>
  <c r="J18" i="7"/>
  <c r="J16" i="7"/>
  <c r="J14" i="7"/>
  <c r="J10" i="7"/>
  <c r="J8" i="7"/>
  <c r="K23" i="8"/>
  <c r="K24" i="8" s="1"/>
  <c r="L23" i="8"/>
  <c r="L24" i="8" s="1"/>
  <c r="M23" i="8"/>
  <c r="M24" i="8" s="1"/>
  <c r="N23" i="8"/>
  <c r="N24" i="8" s="1"/>
  <c r="K19" i="8"/>
  <c r="L19" i="8"/>
  <c r="M19" i="8"/>
  <c r="N19" i="8"/>
  <c r="O9" i="8"/>
  <c r="J14" i="3"/>
  <c r="H14" i="3"/>
  <c r="F14" i="3"/>
  <c r="D14" i="3"/>
  <c r="H15" i="16"/>
  <c r="H15" i="35"/>
  <c r="H11" i="35"/>
  <c r="H8" i="35"/>
  <c r="H7" i="35"/>
  <c r="H6" i="35"/>
  <c r="H4" i="35"/>
  <c r="H3" i="35"/>
  <c r="H11" i="16"/>
  <c r="H8" i="16"/>
  <c r="H7" i="16"/>
  <c r="H6" i="16"/>
  <c r="H4" i="16"/>
  <c r="H3" i="16"/>
  <c r="H20" i="18"/>
  <c r="H16" i="18"/>
  <c r="H13" i="18"/>
  <c r="H12" i="18"/>
  <c r="H11" i="18"/>
  <c r="H9" i="18"/>
  <c r="H21" i="18" s="1"/>
  <c r="I32" i="7"/>
  <c r="I24" i="7"/>
  <c r="I18" i="7"/>
  <c r="I16" i="7"/>
  <c r="I14" i="7"/>
  <c r="I10" i="7"/>
  <c r="I8" i="7"/>
  <c r="H13" i="8" l="1"/>
  <c r="H14" i="8" s="1"/>
  <c r="N20" i="8"/>
  <c r="M20" i="8"/>
  <c r="L20" i="8"/>
  <c r="K20" i="8"/>
  <c r="G15" i="16"/>
  <c r="G15" i="35"/>
  <c r="G11" i="35"/>
  <c r="G8" i="35"/>
  <c r="G7" i="35"/>
  <c r="G6" i="35"/>
  <c r="G4" i="35"/>
  <c r="G3" i="35"/>
  <c r="G11" i="16"/>
  <c r="F9" i="16"/>
  <c r="G8" i="16"/>
  <c r="G7" i="16"/>
  <c r="G6" i="16"/>
  <c r="G4" i="16"/>
  <c r="G3" i="16"/>
  <c r="G16" i="18"/>
  <c r="H24" i="7"/>
  <c r="G20" i="18"/>
  <c r="G13" i="18"/>
  <c r="G12" i="18"/>
  <c r="G11" i="18"/>
  <c r="G9" i="18"/>
  <c r="G8" i="18"/>
  <c r="G24" i="7"/>
  <c r="H32" i="7"/>
  <c r="G32" i="7"/>
  <c r="E13" i="8"/>
  <c r="F15" i="16"/>
  <c r="F11" i="16"/>
  <c r="F14" i="18"/>
  <c r="F11" i="18"/>
  <c r="F16" i="18"/>
  <c r="F11" i="35"/>
  <c r="F9" i="35"/>
  <c r="F15" i="35"/>
  <c r="F8" i="16"/>
  <c r="F7" i="16"/>
  <c r="F6" i="16"/>
  <c r="F4" i="16"/>
  <c r="F3" i="16"/>
  <c r="E7" i="16"/>
  <c r="E9" i="18"/>
  <c r="E13" i="18"/>
  <c r="E14" i="18"/>
  <c r="E8" i="18"/>
  <c r="E20" i="18"/>
  <c r="F32" i="7"/>
  <c r="E15" i="35"/>
  <c r="E6" i="16"/>
  <c r="E15" i="16"/>
  <c r="E4" i="16"/>
  <c r="E8" i="16"/>
  <c r="E9" i="16"/>
  <c r="D6" i="16"/>
  <c r="E3" i="16"/>
  <c r="D8" i="16"/>
  <c r="D9" i="16"/>
  <c r="D10" i="35"/>
  <c r="D4" i="16"/>
  <c r="D15" i="16"/>
  <c r="D7" i="16"/>
  <c r="D3" i="16"/>
  <c r="D10" i="16"/>
  <c r="D4" i="35"/>
  <c r="D8" i="35"/>
  <c r="O24" i="36"/>
  <c r="N24" i="36"/>
  <c r="M24" i="36"/>
  <c r="L24" i="36"/>
  <c r="K24" i="36"/>
  <c r="J24" i="36"/>
  <c r="I24" i="36"/>
  <c r="H24" i="36"/>
  <c r="G24" i="36"/>
  <c r="F24" i="36"/>
  <c r="E24" i="36"/>
  <c r="D24" i="36"/>
  <c r="F23" i="36"/>
  <c r="C23" i="36"/>
  <c r="G23" i="36" s="1"/>
  <c r="O22" i="36"/>
  <c r="N22" i="36"/>
  <c r="M22" i="36"/>
  <c r="L22" i="36"/>
  <c r="K22" i="36"/>
  <c r="J22" i="36"/>
  <c r="I22" i="36"/>
  <c r="H22" i="36"/>
  <c r="G22" i="36"/>
  <c r="F22" i="36"/>
  <c r="E22" i="36"/>
  <c r="D22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O20" i="36"/>
  <c r="N20" i="36"/>
  <c r="M20" i="36"/>
  <c r="L20" i="36"/>
  <c r="K20" i="36"/>
  <c r="J20" i="36"/>
  <c r="I20" i="36"/>
  <c r="H20" i="36"/>
  <c r="G20" i="36"/>
  <c r="F20" i="36"/>
  <c r="E20" i="36"/>
  <c r="D20" i="36"/>
  <c r="O16" i="36"/>
  <c r="N16" i="36"/>
  <c r="M16" i="36"/>
  <c r="L16" i="36"/>
  <c r="K16" i="36"/>
  <c r="J16" i="36"/>
  <c r="I16" i="36"/>
  <c r="H16" i="36"/>
  <c r="G16" i="36"/>
  <c r="F16" i="36"/>
  <c r="E16" i="36"/>
  <c r="D16" i="36"/>
  <c r="P15" i="36"/>
  <c r="P14" i="36"/>
  <c r="P13" i="36"/>
  <c r="P12" i="36"/>
  <c r="P11" i="36"/>
  <c r="P10" i="36"/>
  <c r="P9" i="36"/>
  <c r="P8" i="36"/>
  <c r="P7" i="36"/>
  <c r="P6" i="36"/>
  <c r="P5" i="36"/>
  <c r="P4" i="36"/>
  <c r="P3" i="36"/>
  <c r="C23" i="35"/>
  <c r="K21" i="35"/>
  <c r="O16" i="35"/>
  <c r="N16" i="35"/>
  <c r="L16" i="35"/>
  <c r="K16" i="35"/>
  <c r="J16" i="35"/>
  <c r="I16" i="35"/>
  <c r="H16" i="35"/>
  <c r="G16" i="35"/>
  <c r="D15" i="35"/>
  <c r="P14" i="35"/>
  <c r="P13" i="35"/>
  <c r="P12" i="35"/>
  <c r="P11" i="35"/>
  <c r="P10" i="35"/>
  <c r="E9" i="35"/>
  <c r="D9" i="35"/>
  <c r="F8" i="35"/>
  <c r="E8" i="35"/>
  <c r="P8" i="35" s="1"/>
  <c r="F7" i="35"/>
  <c r="E7" i="35"/>
  <c r="D7" i="35"/>
  <c r="P7" i="35" s="1"/>
  <c r="F6" i="35"/>
  <c r="E6" i="35"/>
  <c r="D6" i="35"/>
  <c r="P5" i="35"/>
  <c r="F4" i="35"/>
  <c r="E4" i="35"/>
  <c r="P4" i="35"/>
  <c r="F3" i="35"/>
  <c r="E3" i="35"/>
  <c r="D3" i="35"/>
  <c r="P6" i="35" l="1"/>
  <c r="F24" i="35"/>
  <c r="D30" i="25" s="1"/>
  <c r="E22" i="35"/>
  <c r="D29" i="24" s="1"/>
  <c r="P15" i="35"/>
  <c r="F22" i="35"/>
  <c r="D29" i="25" s="1"/>
  <c r="L20" i="35"/>
  <c r="G23" i="35"/>
  <c r="J22" i="35"/>
  <c r="P9" i="35"/>
  <c r="H23" i="35"/>
  <c r="D16" i="35"/>
  <c r="P16" i="35" s="1"/>
  <c r="P20" i="36"/>
  <c r="F25" i="36"/>
  <c r="P24" i="36"/>
  <c r="P21" i="36"/>
  <c r="P22" i="36"/>
  <c r="G25" i="36"/>
  <c r="I23" i="36"/>
  <c r="I25" i="36" s="1"/>
  <c r="P16" i="36"/>
  <c r="J23" i="36"/>
  <c r="J25" i="36" s="1"/>
  <c r="O17" i="36"/>
  <c r="K23" i="36"/>
  <c r="K25" i="36" s="1"/>
  <c r="L23" i="36"/>
  <c r="L25" i="36" s="1"/>
  <c r="H23" i="36"/>
  <c r="H25" i="36" s="1"/>
  <c r="M23" i="36"/>
  <c r="M25" i="36" s="1"/>
  <c r="N23" i="36"/>
  <c r="N25" i="36" s="1"/>
  <c r="D23" i="36"/>
  <c r="O23" i="36"/>
  <c r="O25" i="36" s="1"/>
  <c r="E23" i="36"/>
  <c r="E25" i="36" s="1"/>
  <c r="G24" i="35"/>
  <c r="D30" i="26" s="1"/>
  <c r="M20" i="35"/>
  <c r="L21" i="35"/>
  <c r="K22" i="35"/>
  <c r="I23" i="35"/>
  <c r="H24" i="35"/>
  <c r="E16" i="35"/>
  <c r="O20" i="35"/>
  <c r="N21" i="35"/>
  <c r="M22" i="35"/>
  <c r="K23" i="35"/>
  <c r="J24" i="35"/>
  <c r="F16" i="35"/>
  <c r="D20" i="35"/>
  <c r="D27" i="1" s="1"/>
  <c r="O21" i="35"/>
  <c r="N22" i="35"/>
  <c r="L23" i="35"/>
  <c r="K24" i="35"/>
  <c r="P3" i="35"/>
  <c r="E20" i="35"/>
  <c r="D27" i="24" s="1"/>
  <c r="D21" i="35"/>
  <c r="D28" i="1" s="1"/>
  <c r="O22" i="35"/>
  <c r="M23" i="35"/>
  <c r="L24" i="35"/>
  <c r="F20" i="35"/>
  <c r="D27" i="25" s="1"/>
  <c r="E21" i="35"/>
  <c r="D28" i="24" s="1"/>
  <c r="D22" i="35"/>
  <c r="D29" i="1" s="1"/>
  <c r="N23" i="35"/>
  <c r="M24" i="35"/>
  <c r="J23" i="35"/>
  <c r="G20" i="35"/>
  <c r="D27" i="26" s="1"/>
  <c r="F21" i="35"/>
  <c r="D28" i="25" s="1"/>
  <c r="O23" i="35"/>
  <c r="N24" i="35"/>
  <c r="L22" i="35"/>
  <c r="H20" i="35"/>
  <c r="G21" i="35"/>
  <c r="D28" i="26" s="1"/>
  <c r="D23" i="35"/>
  <c r="O24" i="35"/>
  <c r="I24" i="35"/>
  <c r="I20" i="35"/>
  <c r="H21" i="35"/>
  <c r="G22" i="35"/>
  <c r="D29" i="26" s="1"/>
  <c r="E23" i="35"/>
  <c r="D24" i="35"/>
  <c r="D30" i="1" s="1"/>
  <c r="N20" i="35"/>
  <c r="J20" i="35"/>
  <c r="I21" i="35"/>
  <c r="H22" i="35"/>
  <c r="F23" i="35"/>
  <c r="E24" i="35"/>
  <c r="D30" i="24" s="1"/>
  <c r="M21" i="35"/>
  <c r="K20" i="35"/>
  <c r="J21" i="35"/>
  <c r="I22" i="35"/>
  <c r="L27" i="36" l="1"/>
  <c r="K27" i="36"/>
  <c r="H27" i="36"/>
  <c r="J27" i="36"/>
  <c r="I27" i="36"/>
  <c r="E27" i="36"/>
  <c r="G27" i="36"/>
  <c r="O27" i="36"/>
  <c r="N27" i="36"/>
  <c r="M27" i="36"/>
  <c r="F27" i="36"/>
  <c r="J25" i="35"/>
  <c r="L25" i="35"/>
  <c r="D25" i="36"/>
  <c r="P23" i="36"/>
  <c r="P23" i="35"/>
  <c r="P24" i="35"/>
  <c r="H25" i="35"/>
  <c r="N25" i="35"/>
  <c r="P21" i="35"/>
  <c r="M25" i="35"/>
  <c r="G25" i="35"/>
  <c r="H28" i="26" s="1"/>
  <c r="E25" i="35"/>
  <c r="H28" i="24" s="1"/>
  <c r="O25" i="35"/>
  <c r="O17" i="35"/>
  <c r="K25" i="35"/>
  <c r="I25" i="35"/>
  <c r="P22" i="35"/>
  <c r="F25" i="35"/>
  <c r="H28" i="25" s="1"/>
  <c r="D25" i="35"/>
  <c r="H28" i="1" s="1"/>
  <c r="P20" i="35"/>
  <c r="K27" i="35" l="1"/>
  <c r="L27" i="35"/>
  <c r="G27" i="35"/>
  <c r="I27" i="35"/>
  <c r="J27" i="35"/>
  <c r="M27" i="35"/>
  <c r="O27" i="35"/>
  <c r="E27" i="35"/>
  <c r="N27" i="35"/>
  <c r="H27" i="35"/>
  <c r="F27" i="35"/>
  <c r="P25" i="36"/>
  <c r="P27" i="36" s="1"/>
  <c r="D27" i="36"/>
  <c r="P25" i="35"/>
  <c r="P27" i="35" s="1"/>
  <c r="D27" i="35"/>
  <c r="D20" i="16" l="1"/>
  <c r="F16" i="7"/>
  <c r="E35" i="7" l="1"/>
  <c r="E39" i="7" s="1"/>
  <c r="F21" i="18"/>
  <c r="D21" i="18"/>
  <c r="E21" i="18"/>
  <c r="E11" i="18" l="1"/>
  <c r="F10" i="7"/>
  <c r="E10" i="7" l="1"/>
  <c r="E32" i="7"/>
  <c r="D15" i="18"/>
  <c r="D20" i="18"/>
  <c r="D14" i="18"/>
  <c r="D12" i="18"/>
  <c r="D11" i="18"/>
  <c r="D8" i="18"/>
  <c r="D27" i="18"/>
  <c r="D9" i="18"/>
  <c r="D26" i="18"/>
  <c r="D25" i="18"/>
  <c r="D22" i="1" s="1"/>
  <c r="D16" i="12"/>
  <c r="D16" i="14" l="1"/>
  <c r="D16" i="4"/>
  <c r="D13" i="18"/>
  <c r="H18" i="7"/>
  <c r="H16" i="7"/>
  <c r="H14" i="7"/>
  <c r="H10" i="7"/>
  <c r="H8" i="7"/>
  <c r="E18" i="7"/>
  <c r="F8" i="18"/>
  <c r="F12" i="18"/>
  <c r="F20" i="18"/>
  <c r="F9" i="18"/>
  <c r="F13" i="18" l="1"/>
  <c r="G20" i="7"/>
  <c r="G18" i="7"/>
  <c r="F18" i="7"/>
  <c r="G16" i="7"/>
  <c r="G14" i="7"/>
  <c r="F14" i="7"/>
  <c r="G10" i="7"/>
  <c r="F20" i="7"/>
  <c r="G8" i="7" l="1"/>
  <c r="B22" i="7" l="1"/>
  <c r="E12" i="18"/>
  <c r="F8" i="7" l="1"/>
  <c r="O10" i="8" l="1"/>
  <c r="E14" i="7" l="1"/>
  <c r="E8" i="7"/>
  <c r="E17" i="7"/>
  <c r="E16" i="7"/>
  <c r="E23" i="7"/>
  <c r="E22" i="7"/>
  <c r="E20" i="7" l="1"/>
  <c r="C23" i="16" l="1"/>
  <c r="M16" i="20"/>
  <c r="L16" i="20"/>
  <c r="K16" i="20"/>
  <c r="J16" i="20"/>
  <c r="I16" i="20"/>
  <c r="H16" i="20"/>
  <c r="G16" i="20"/>
  <c r="F16" i="20"/>
  <c r="E16" i="20"/>
  <c r="D16" i="20"/>
  <c r="M16" i="19"/>
  <c r="L16" i="19"/>
  <c r="K16" i="19"/>
  <c r="J16" i="19"/>
  <c r="I16" i="19"/>
  <c r="H16" i="19"/>
  <c r="G16" i="19"/>
  <c r="F16" i="19"/>
  <c r="E16" i="19"/>
  <c r="D16" i="19"/>
  <c r="M16" i="12"/>
  <c r="L16" i="12"/>
  <c r="K16" i="12"/>
  <c r="J16" i="12"/>
  <c r="I16" i="12"/>
  <c r="H16" i="12"/>
  <c r="F16" i="12"/>
  <c r="M16" i="17"/>
  <c r="K16" i="17"/>
  <c r="I16" i="17"/>
  <c r="H16" i="17"/>
  <c r="G16" i="17"/>
  <c r="F16" i="17"/>
  <c r="E16" i="17"/>
  <c r="D16" i="17"/>
  <c r="M16" i="4"/>
  <c r="L16" i="4"/>
  <c r="K16" i="4"/>
  <c r="J16" i="4"/>
  <c r="I16" i="4"/>
  <c r="H16" i="4"/>
  <c r="G16" i="4"/>
  <c r="F16" i="4"/>
  <c r="E16" i="4"/>
  <c r="M16" i="16"/>
  <c r="I16" i="16"/>
  <c r="H16" i="16"/>
  <c r="G16" i="16"/>
  <c r="F16" i="16"/>
  <c r="E16" i="16"/>
  <c r="D16" i="16"/>
  <c r="L13" i="8" l="1"/>
  <c r="L14" i="8" s="1"/>
  <c r="L26" i="8" s="1"/>
  <c r="B55" i="34" l="1"/>
  <c r="B54" i="34"/>
  <c r="B52" i="34"/>
  <c r="B50" i="34"/>
  <c r="B48" i="34"/>
  <c r="B47" i="34"/>
  <c r="B46" i="34"/>
  <c r="B45" i="34"/>
  <c r="B44" i="34"/>
  <c r="B43" i="34"/>
  <c r="B41" i="34"/>
  <c r="B40" i="34"/>
  <c r="B39" i="34"/>
  <c r="B38" i="34"/>
  <c r="B37" i="34"/>
  <c r="B35" i="34"/>
  <c r="B34" i="34"/>
  <c r="B33" i="34"/>
  <c r="B32" i="34"/>
  <c r="B30" i="34"/>
  <c r="B29" i="34"/>
  <c r="B28" i="34"/>
  <c r="B27" i="34"/>
  <c r="B25" i="34"/>
  <c r="B24" i="34"/>
  <c r="B23" i="34"/>
  <c r="B22" i="34"/>
  <c r="B20" i="34"/>
  <c r="B19" i="34"/>
  <c r="B18" i="34"/>
  <c r="B17" i="34"/>
  <c r="B16" i="34"/>
  <c r="B14" i="34"/>
  <c r="B13" i="34"/>
  <c r="B12" i="34"/>
  <c r="B11" i="34"/>
  <c r="B10" i="34"/>
  <c r="G6" i="34"/>
  <c r="H6" i="34" s="1"/>
  <c r="B55" i="33"/>
  <c r="B54" i="33"/>
  <c r="B52" i="33"/>
  <c r="B50" i="33"/>
  <c r="B48" i="33"/>
  <c r="B47" i="33"/>
  <c r="B46" i="33"/>
  <c r="B45" i="33"/>
  <c r="B44" i="33"/>
  <c r="B43" i="33"/>
  <c r="B41" i="33"/>
  <c r="B40" i="33"/>
  <c r="B39" i="33"/>
  <c r="B38" i="33"/>
  <c r="B37" i="33"/>
  <c r="B35" i="33"/>
  <c r="B34" i="33"/>
  <c r="B33" i="33"/>
  <c r="B32" i="33"/>
  <c r="B30" i="33"/>
  <c r="B29" i="33"/>
  <c r="B28" i="33"/>
  <c r="B27" i="33"/>
  <c r="B25" i="33"/>
  <c r="B24" i="33"/>
  <c r="B23" i="33"/>
  <c r="B22" i="33"/>
  <c r="B20" i="33"/>
  <c r="B19" i="33"/>
  <c r="B18" i="33"/>
  <c r="B17" i="33"/>
  <c r="B16" i="33"/>
  <c r="B14" i="33"/>
  <c r="B13" i="33"/>
  <c r="B12" i="33"/>
  <c r="B11" i="33"/>
  <c r="B10" i="33"/>
  <c r="G6" i="33"/>
  <c r="H6" i="33" s="1"/>
  <c r="B55" i="32"/>
  <c r="B54" i="32"/>
  <c r="B52" i="32"/>
  <c r="B50" i="32"/>
  <c r="B48" i="32"/>
  <c r="B47" i="32"/>
  <c r="B46" i="32"/>
  <c r="B45" i="32"/>
  <c r="B44" i="32"/>
  <c r="B43" i="32"/>
  <c r="B41" i="32"/>
  <c r="B40" i="32"/>
  <c r="B39" i="32"/>
  <c r="B38" i="32"/>
  <c r="B37" i="32"/>
  <c r="B35" i="32"/>
  <c r="B34" i="32"/>
  <c r="B33" i="32"/>
  <c r="B32" i="32"/>
  <c r="B30" i="32"/>
  <c r="B29" i="32"/>
  <c r="B28" i="32"/>
  <c r="B27" i="32"/>
  <c r="B25" i="32"/>
  <c r="B24" i="32"/>
  <c r="B23" i="32"/>
  <c r="B22" i="32"/>
  <c r="B20" i="32"/>
  <c r="B19" i="32"/>
  <c r="B18" i="32"/>
  <c r="B17" i="32"/>
  <c r="B16" i="32"/>
  <c r="B14" i="32"/>
  <c r="B13" i="32"/>
  <c r="B12" i="32"/>
  <c r="B11" i="32"/>
  <c r="B10" i="32"/>
  <c r="G6" i="32"/>
  <c r="H6" i="32" s="1"/>
  <c r="B55" i="31"/>
  <c r="B54" i="31"/>
  <c r="B52" i="31"/>
  <c r="B50" i="31"/>
  <c r="B48" i="31"/>
  <c r="B47" i="31"/>
  <c r="B46" i="31"/>
  <c r="B45" i="31"/>
  <c r="B44" i="31"/>
  <c r="B43" i="31"/>
  <c r="B41" i="31"/>
  <c r="B40" i="31"/>
  <c r="B39" i="31"/>
  <c r="B38" i="31"/>
  <c r="B37" i="31"/>
  <c r="B35" i="31"/>
  <c r="B34" i="31"/>
  <c r="B33" i="31"/>
  <c r="B32" i="31"/>
  <c r="B30" i="31"/>
  <c r="B29" i="31"/>
  <c r="B28" i="31"/>
  <c r="B27" i="31"/>
  <c r="B25" i="31"/>
  <c r="B24" i="31"/>
  <c r="B23" i="31"/>
  <c r="B22" i="31"/>
  <c r="B20" i="31"/>
  <c r="B19" i="31"/>
  <c r="B18" i="31"/>
  <c r="B17" i="31"/>
  <c r="B16" i="31"/>
  <c r="B14" i="31"/>
  <c r="B13" i="31"/>
  <c r="B12" i="31"/>
  <c r="B11" i="31"/>
  <c r="B10" i="31"/>
  <c r="G6" i="31"/>
  <c r="H6" i="31" s="1"/>
  <c r="B55" i="30"/>
  <c r="B54" i="30"/>
  <c r="B52" i="30"/>
  <c r="B50" i="30"/>
  <c r="B48" i="30"/>
  <c r="B47" i="30"/>
  <c r="B46" i="30"/>
  <c r="B45" i="30"/>
  <c r="B44" i="30"/>
  <c r="B43" i="30"/>
  <c r="B41" i="30"/>
  <c r="B40" i="30"/>
  <c r="B39" i="30"/>
  <c r="B38" i="30"/>
  <c r="B37" i="30"/>
  <c r="B35" i="30"/>
  <c r="B34" i="30"/>
  <c r="B33" i="30"/>
  <c r="B32" i="30"/>
  <c r="B30" i="30"/>
  <c r="B29" i="30"/>
  <c r="B28" i="30"/>
  <c r="B27" i="30"/>
  <c r="B25" i="30"/>
  <c r="B24" i="30"/>
  <c r="B23" i="30"/>
  <c r="B22" i="30"/>
  <c r="B20" i="30"/>
  <c r="B19" i="30"/>
  <c r="B18" i="30"/>
  <c r="B17" i="30"/>
  <c r="B16" i="30"/>
  <c r="B14" i="30"/>
  <c r="B13" i="30"/>
  <c r="B12" i="30"/>
  <c r="B11" i="30"/>
  <c r="B10" i="30"/>
  <c r="G6" i="30"/>
  <c r="H6" i="30" s="1"/>
  <c r="B55" i="29"/>
  <c r="B54" i="29"/>
  <c r="B52" i="29"/>
  <c r="B50" i="29"/>
  <c r="B48" i="29"/>
  <c r="B47" i="29"/>
  <c r="B46" i="29"/>
  <c r="B45" i="29"/>
  <c r="B44" i="29"/>
  <c r="B43" i="29"/>
  <c r="B41" i="29"/>
  <c r="B40" i="29"/>
  <c r="B39" i="29"/>
  <c r="B38" i="29"/>
  <c r="B37" i="29"/>
  <c r="B35" i="29"/>
  <c r="B34" i="29"/>
  <c r="B33" i="29"/>
  <c r="B32" i="29"/>
  <c r="B30" i="29"/>
  <c r="B29" i="29"/>
  <c r="B28" i="29"/>
  <c r="B27" i="29"/>
  <c r="B25" i="29"/>
  <c r="B24" i="29"/>
  <c r="B23" i="29"/>
  <c r="B22" i="29"/>
  <c r="B20" i="29"/>
  <c r="B19" i="29"/>
  <c r="B18" i="29"/>
  <c r="B17" i="29"/>
  <c r="B16" i="29"/>
  <c r="B14" i="29"/>
  <c r="B13" i="29"/>
  <c r="B12" i="29"/>
  <c r="B11" i="29"/>
  <c r="B10" i="29"/>
  <c r="G6" i="29"/>
  <c r="H6" i="29" s="1"/>
  <c r="B55" i="28"/>
  <c r="B54" i="28"/>
  <c r="B52" i="28"/>
  <c r="B50" i="28"/>
  <c r="B48" i="28"/>
  <c r="B47" i="28"/>
  <c r="B46" i="28"/>
  <c r="B45" i="28"/>
  <c r="B44" i="28"/>
  <c r="B43" i="28"/>
  <c r="B41" i="28"/>
  <c r="B40" i="28"/>
  <c r="B39" i="28"/>
  <c r="B38" i="28"/>
  <c r="B37" i="28"/>
  <c r="B35" i="28"/>
  <c r="B34" i="28"/>
  <c r="B33" i="28"/>
  <c r="B32" i="28"/>
  <c r="B30" i="28"/>
  <c r="B29" i="28"/>
  <c r="B28" i="28"/>
  <c r="B27" i="28"/>
  <c r="B25" i="28"/>
  <c r="B24" i="28"/>
  <c r="B23" i="28"/>
  <c r="B22" i="28"/>
  <c r="B20" i="28"/>
  <c r="B19" i="28"/>
  <c r="B18" i="28"/>
  <c r="B17" i="28"/>
  <c r="B16" i="28"/>
  <c r="B14" i="28"/>
  <c r="B13" i="28"/>
  <c r="B12" i="28"/>
  <c r="B11" i="28"/>
  <c r="B10" i="28"/>
  <c r="G6" i="28"/>
  <c r="H6" i="28" s="1"/>
  <c r="B55" i="27"/>
  <c r="B54" i="27"/>
  <c r="B52" i="27"/>
  <c r="B50" i="27"/>
  <c r="B48" i="27"/>
  <c r="B47" i="27"/>
  <c r="B46" i="27"/>
  <c r="B45" i="27"/>
  <c r="B44" i="27"/>
  <c r="B43" i="27"/>
  <c r="B41" i="27"/>
  <c r="B40" i="27"/>
  <c r="B39" i="27"/>
  <c r="B38" i="27"/>
  <c r="B37" i="27"/>
  <c r="B35" i="27"/>
  <c r="B34" i="27"/>
  <c r="B33" i="27"/>
  <c r="B32" i="27"/>
  <c r="B30" i="27"/>
  <c r="B29" i="27"/>
  <c r="B28" i="27"/>
  <c r="B27" i="27"/>
  <c r="B25" i="27"/>
  <c r="B24" i="27"/>
  <c r="B23" i="27"/>
  <c r="B22" i="27"/>
  <c r="B20" i="27"/>
  <c r="B19" i="27"/>
  <c r="B18" i="27"/>
  <c r="B17" i="27"/>
  <c r="B16" i="27"/>
  <c r="B14" i="27"/>
  <c r="B13" i="27"/>
  <c r="B12" i="27"/>
  <c r="B11" i="27"/>
  <c r="B10" i="27"/>
  <c r="G6" i="27"/>
  <c r="H6" i="27" s="1"/>
  <c r="B55" i="26"/>
  <c r="B54" i="26"/>
  <c r="B52" i="26"/>
  <c r="B50" i="26"/>
  <c r="B48" i="26"/>
  <c r="B47" i="26"/>
  <c r="B46" i="26"/>
  <c r="B45" i="26"/>
  <c r="B44" i="26"/>
  <c r="B43" i="26"/>
  <c r="B41" i="26"/>
  <c r="B40" i="26"/>
  <c r="B39" i="26"/>
  <c r="B38" i="26"/>
  <c r="B37" i="26"/>
  <c r="B35" i="26"/>
  <c r="B34" i="26"/>
  <c r="B33" i="26"/>
  <c r="B32" i="26"/>
  <c r="B30" i="26"/>
  <c r="B29" i="26"/>
  <c r="B28" i="26"/>
  <c r="B27" i="26"/>
  <c r="B25" i="26"/>
  <c r="B24" i="26"/>
  <c r="B23" i="26"/>
  <c r="B22" i="26"/>
  <c r="B20" i="26"/>
  <c r="B19" i="26"/>
  <c r="B18" i="26"/>
  <c r="B17" i="26"/>
  <c r="B16" i="26"/>
  <c r="B14" i="26"/>
  <c r="B13" i="26"/>
  <c r="B12" i="26"/>
  <c r="B11" i="26"/>
  <c r="B10" i="26"/>
  <c r="G6" i="26"/>
  <c r="H6" i="26" s="1"/>
  <c r="B55" i="25"/>
  <c r="B54" i="25"/>
  <c r="B52" i="25"/>
  <c r="B50" i="25"/>
  <c r="B48" i="25"/>
  <c r="B47" i="25"/>
  <c r="B46" i="25"/>
  <c r="B45" i="25"/>
  <c r="B44" i="25"/>
  <c r="B43" i="25"/>
  <c r="B41" i="25"/>
  <c r="B40" i="25"/>
  <c r="B39" i="25"/>
  <c r="B38" i="25"/>
  <c r="B37" i="25"/>
  <c r="B35" i="25"/>
  <c r="B34" i="25"/>
  <c r="B33" i="25"/>
  <c r="B32" i="25"/>
  <c r="B30" i="25"/>
  <c r="B29" i="25"/>
  <c r="B28" i="25"/>
  <c r="B27" i="25"/>
  <c r="B25" i="25"/>
  <c r="B24" i="25"/>
  <c r="B23" i="25"/>
  <c r="B22" i="25"/>
  <c r="B20" i="25"/>
  <c r="B19" i="25"/>
  <c r="B18" i="25"/>
  <c r="B17" i="25"/>
  <c r="B16" i="25"/>
  <c r="B14" i="25"/>
  <c r="B13" i="25"/>
  <c r="B12" i="25"/>
  <c r="B11" i="25"/>
  <c r="B10" i="25"/>
  <c r="G6" i="25"/>
  <c r="H6" i="25" s="1"/>
  <c r="B55" i="24"/>
  <c r="B54" i="24"/>
  <c r="B52" i="24"/>
  <c r="B50" i="24"/>
  <c r="B48" i="24"/>
  <c r="B47" i="24"/>
  <c r="B46" i="24"/>
  <c r="B45" i="24"/>
  <c r="B44" i="24"/>
  <c r="B43" i="24"/>
  <c r="B41" i="24"/>
  <c r="B40" i="24"/>
  <c r="B39" i="24"/>
  <c r="B38" i="24"/>
  <c r="B37" i="24"/>
  <c r="B35" i="24"/>
  <c r="B34" i="24"/>
  <c r="B33" i="24"/>
  <c r="B32" i="24"/>
  <c r="B30" i="24"/>
  <c r="B29" i="24"/>
  <c r="B28" i="24"/>
  <c r="B27" i="24"/>
  <c r="B25" i="24"/>
  <c r="B24" i="24"/>
  <c r="B23" i="24"/>
  <c r="B22" i="24"/>
  <c r="B20" i="24"/>
  <c r="B19" i="24"/>
  <c r="B18" i="24"/>
  <c r="B17" i="24"/>
  <c r="B16" i="24"/>
  <c r="B14" i="24"/>
  <c r="B13" i="24"/>
  <c r="B12" i="24"/>
  <c r="B11" i="24"/>
  <c r="B10" i="24"/>
  <c r="G6" i="24"/>
  <c r="H6" i="24" s="1"/>
  <c r="E16" i="12"/>
  <c r="E50" i="1"/>
  <c r="E52" i="1"/>
  <c r="B54" i="1"/>
  <c r="B52" i="1"/>
  <c r="B50" i="1"/>
  <c r="O16" i="20"/>
  <c r="N16" i="20"/>
  <c r="P15" i="20"/>
  <c r="P14" i="20"/>
  <c r="P13" i="20"/>
  <c r="P12" i="20"/>
  <c r="P11" i="20"/>
  <c r="P10" i="20"/>
  <c r="P9" i="20"/>
  <c r="P8" i="20"/>
  <c r="P7" i="20"/>
  <c r="P6" i="20"/>
  <c r="P5" i="20"/>
  <c r="P4" i="20"/>
  <c r="P3" i="20"/>
  <c r="O16" i="19"/>
  <c r="N16" i="19"/>
  <c r="P15" i="19"/>
  <c r="P14" i="19"/>
  <c r="P13" i="19"/>
  <c r="P12" i="19"/>
  <c r="P11" i="19"/>
  <c r="P10" i="19"/>
  <c r="P9" i="19"/>
  <c r="P8" i="19"/>
  <c r="P7" i="19"/>
  <c r="P6" i="19"/>
  <c r="P5" i="19"/>
  <c r="P4" i="19"/>
  <c r="P3" i="19"/>
  <c r="B48" i="1"/>
  <c r="G16" i="12" l="1"/>
  <c r="O17" i="20"/>
  <c r="E52" i="34"/>
  <c r="E50" i="34"/>
  <c r="E52" i="33"/>
  <c r="E50" i="33"/>
  <c r="E52" i="32"/>
  <c r="E50" i="32"/>
  <c r="E48" i="32"/>
  <c r="E47" i="32"/>
  <c r="E52" i="31"/>
  <c r="E50" i="31"/>
  <c r="E52" i="30"/>
  <c r="E50" i="30"/>
  <c r="E52" i="29"/>
  <c r="E50" i="29"/>
  <c r="E52" i="28"/>
  <c r="E50" i="28"/>
  <c r="E52" i="27"/>
  <c r="E50" i="27"/>
  <c r="E52" i="26"/>
  <c r="E50" i="26"/>
  <c r="E52" i="25"/>
  <c r="E50" i="25"/>
  <c r="E52" i="24"/>
  <c r="E50" i="24"/>
  <c r="P16" i="20"/>
  <c r="O17" i="19"/>
  <c r="P16" i="19"/>
  <c r="O29" i="18"/>
  <c r="G21" i="18"/>
  <c r="P14" i="18"/>
  <c r="O21" i="18"/>
  <c r="N21" i="18"/>
  <c r="M21" i="18"/>
  <c r="I21" i="18"/>
  <c r="E16" i="14"/>
  <c r="F16" i="14"/>
  <c r="G16" i="14"/>
  <c r="H16" i="14"/>
  <c r="I16" i="14"/>
  <c r="J16" i="14"/>
  <c r="K16" i="14"/>
  <c r="L16" i="14"/>
  <c r="P20" i="18"/>
  <c r="B20" i="18"/>
  <c r="P19" i="18"/>
  <c r="B19" i="18"/>
  <c r="P18" i="18"/>
  <c r="B18" i="18"/>
  <c r="P17" i="18"/>
  <c r="B17" i="18"/>
  <c r="P16" i="18"/>
  <c r="B16" i="18"/>
  <c r="B15" i="18"/>
  <c r="B14" i="18"/>
  <c r="P13" i="18"/>
  <c r="B13" i="18"/>
  <c r="P12" i="18"/>
  <c r="B12" i="18"/>
  <c r="P11" i="18"/>
  <c r="B11" i="18"/>
  <c r="B9" i="18"/>
  <c r="K21" i="18"/>
  <c r="B8" i="18"/>
  <c r="B55" i="1"/>
  <c r="G6" i="1"/>
  <c r="H6" i="1" s="1"/>
  <c r="N13" i="8"/>
  <c r="E48" i="34" s="1"/>
  <c r="M13" i="8"/>
  <c r="E48" i="33" s="1"/>
  <c r="K13" i="8"/>
  <c r="E48" i="31" s="1"/>
  <c r="J13" i="8"/>
  <c r="E48" i="30" s="1"/>
  <c r="F13" i="8"/>
  <c r="E48" i="26" s="1"/>
  <c r="D13" i="8"/>
  <c r="E48" i="24" s="1"/>
  <c r="O8" i="8"/>
  <c r="O7" i="8"/>
  <c r="O5" i="8"/>
  <c r="O4" i="8"/>
  <c r="B47" i="1"/>
  <c r="B43" i="1"/>
  <c r="B40" i="1"/>
  <c r="B35" i="1"/>
  <c r="B34" i="1"/>
  <c r="B33" i="1"/>
  <c r="B32" i="1"/>
  <c r="B30" i="1"/>
  <c r="B29" i="1"/>
  <c r="B28" i="1"/>
  <c r="B27" i="1"/>
  <c r="C23" i="17"/>
  <c r="P9" i="16"/>
  <c r="P6" i="16"/>
  <c r="P4" i="16"/>
  <c r="P3" i="16"/>
  <c r="O16" i="17"/>
  <c r="N16" i="17"/>
  <c r="P15" i="17"/>
  <c r="P14" i="17"/>
  <c r="P13" i="17"/>
  <c r="P12" i="17"/>
  <c r="P11" i="17"/>
  <c r="P10" i="17"/>
  <c r="P9" i="17"/>
  <c r="P8" i="17"/>
  <c r="P7" i="17"/>
  <c r="P6" i="17"/>
  <c r="P5" i="17"/>
  <c r="P4" i="17"/>
  <c r="N24" i="17"/>
  <c r="O16" i="16"/>
  <c r="N16" i="16"/>
  <c r="P15" i="16"/>
  <c r="P14" i="16"/>
  <c r="P13" i="16"/>
  <c r="P12" i="16"/>
  <c r="P11" i="16"/>
  <c r="P10" i="16"/>
  <c r="P8" i="16"/>
  <c r="P7" i="16"/>
  <c r="P5" i="16"/>
  <c r="P36" i="7"/>
  <c r="P40" i="7" s="1"/>
  <c r="O36" i="7"/>
  <c r="O40" i="7" s="1"/>
  <c r="M36" i="7"/>
  <c r="M40" i="7" s="1"/>
  <c r="L36" i="7"/>
  <c r="L40" i="7" s="1"/>
  <c r="K36" i="7"/>
  <c r="K40" i="7" s="1"/>
  <c r="J40" i="7"/>
  <c r="P35" i="7"/>
  <c r="P39" i="7" s="1"/>
  <c r="O35" i="7"/>
  <c r="O39" i="7" s="1"/>
  <c r="N39" i="7"/>
  <c r="K35" i="7"/>
  <c r="K39" i="7" s="1"/>
  <c r="J39" i="7"/>
  <c r="Q12" i="7"/>
  <c r="Q13" i="7"/>
  <c r="Q33" i="7"/>
  <c r="Q32" i="7"/>
  <c r="Q31" i="7"/>
  <c r="Q29" i="7"/>
  <c r="Q28" i="7"/>
  <c r="Q27" i="7"/>
  <c r="Q25" i="7"/>
  <c r="Q24" i="7"/>
  <c r="Q23" i="7"/>
  <c r="Q22" i="7"/>
  <c r="Q21" i="7"/>
  <c r="Q20" i="7"/>
  <c r="Q19" i="7"/>
  <c r="Q18" i="7"/>
  <c r="Q17" i="7"/>
  <c r="Q16" i="7"/>
  <c r="Q15" i="7"/>
  <c r="Q14" i="7"/>
  <c r="Q11" i="7"/>
  <c r="Q9" i="7"/>
  <c r="P15" i="14"/>
  <c r="P14" i="14"/>
  <c r="P13" i="14"/>
  <c r="P12" i="14"/>
  <c r="P11" i="14"/>
  <c r="P10" i="14"/>
  <c r="P9" i="14"/>
  <c r="P8" i="14"/>
  <c r="P7" i="14"/>
  <c r="O16" i="14"/>
  <c r="N16" i="14"/>
  <c r="P6" i="14"/>
  <c r="M16" i="14"/>
  <c r="P5" i="14"/>
  <c r="H22" i="14"/>
  <c r="G22" i="14"/>
  <c r="F22" i="14"/>
  <c r="E22" i="14"/>
  <c r="N24" i="14"/>
  <c r="P4" i="14"/>
  <c r="P3" i="14"/>
  <c r="P4" i="12"/>
  <c r="P6" i="12"/>
  <c r="P15" i="12"/>
  <c r="P13" i="12"/>
  <c r="P11" i="12"/>
  <c r="P9" i="12"/>
  <c r="O16" i="12"/>
  <c r="P14" i="12"/>
  <c r="P12" i="12"/>
  <c r="P10" i="12"/>
  <c r="P8" i="12"/>
  <c r="P7" i="12"/>
  <c r="P5" i="12"/>
  <c r="J15" i="3"/>
  <c r="J13" i="3"/>
  <c r="J12" i="3"/>
  <c r="J11" i="3"/>
  <c r="J10" i="3"/>
  <c r="J9" i="3"/>
  <c r="J8" i="3"/>
  <c r="J7" i="3"/>
  <c r="J6" i="3"/>
  <c r="J5" i="3"/>
  <c r="J4" i="3"/>
  <c r="J3" i="3"/>
  <c r="B19" i="1"/>
  <c r="B13" i="1"/>
  <c r="P5" i="4"/>
  <c r="P14" i="4"/>
  <c r="P13" i="4"/>
  <c r="P4" i="4"/>
  <c r="P3" i="4"/>
  <c r="B45" i="1"/>
  <c r="B46" i="1"/>
  <c r="B44" i="1"/>
  <c r="B37" i="1"/>
  <c r="B38" i="1"/>
  <c r="B39" i="1"/>
  <c r="B41" i="1"/>
  <c r="B8" i="7"/>
  <c r="B10" i="7"/>
  <c r="B12" i="7"/>
  <c r="B14" i="7"/>
  <c r="B16" i="7"/>
  <c r="B18" i="7"/>
  <c r="B20" i="7"/>
  <c r="B24" i="7"/>
  <c r="B26" i="7"/>
  <c r="B28" i="7"/>
  <c r="B30" i="7"/>
  <c r="B32" i="7"/>
  <c r="B24" i="1"/>
  <c r="B25" i="1"/>
  <c r="B23" i="1"/>
  <c r="B22" i="1"/>
  <c r="B20" i="1"/>
  <c r="B18" i="1"/>
  <c r="B17" i="1"/>
  <c r="B16" i="1"/>
  <c r="B14" i="1"/>
  <c r="B12" i="1"/>
  <c r="B11" i="1"/>
  <c r="B10" i="1"/>
  <c r="O6" i="8"/>
  <c r="Q30" i="7"/>
  <c r="Q26" i="7"/>
  <c r="Q10" i="7"/>
  <c r="H36" i="7"/>
  <c r="H40" i="7" s="1"/>
  <c r="O17" i="16" l="1"/>
  <c r="J22" i="8"/>
  <c r="J23" i="8" s="1"/>
  <c r="J24" i="8" s="1"/>
  <c r="J18" i="8"/>
  <c r="D22" i="8"/>
  <c r="F18" i="8"/>
  <c r="E22" i="8"/>
  <c r="E18" i="8"/>
  <c r="F22" i="8"/>
  <c r="D18" i="8"/>
  <c r="G22" i="8"/>
  <c r="C18" i="8"/>
  <c r="H22" i="8"/>
  <c r="G18" i="8"/>
  <c r="I22" i="8"/>
  <c r="I23" i="8" s="1"/>
  <c r="I24" i="8" s="1"/>
  <c r="H18" i="8"/>
  <c r="H19" i="8" s="1"/>
  <c r="I18" i="8"/>
  <c r="C22" i="8"/>
  <c r="N24" i="16"/>
  <c r="N23" i="4"/>
  <c r="D13" i="33" s="1"/>
  <c r="F23" i="4"/>
  <c r="D13" i="25" s="1"/>
  <c r="G23" i="4"/>
  <c r="D13" i="26" s="1"/>
  <c r="D23" i="4"/>
  <c r="D13" i="1" s="1"/>
  <c r="E23" i="4"/>
  <c r="D13" i="24" s="1"/>
  <c r="J23" i="4"/>
  <c r="D13" i="29" s="1"/>
  <c r="H23" i="4"/>
  <c r="D13" i="27" s="1"/>
  <c r="K23" i="4"/>
  <c r="D13" i="30" s="1"/>
  <c r="L23" i="4"/>
  <c r="D13" i="31" s="1"/>
  <c r="I23" i="4"/>
  <c r="D13" i="28" s="1"/>
  <c r="M23" i="4"/>
  <c r="D13" i="32" s="1"/>
  <c r="O23" i="4"/>
  <c r="D13" i="34" s="1"/>
  <c r="M27" i="18"/>
  <c r="D24" i="32" s="1"/>
  <c r="N28" i="18"/>
  <c r="M28" i="18"/>
  <c r="M29" i="18"/>
  <c r="D25" i="32" s="1"/>
  <c r="P15" i="18"/>
  <c r="M25" i="18"/>
  <c r="N26" i="18"/>
  <c r="D23" i="33" s="1"/>
  <c r="P10" i="18"/>
  <c r="O26" i="18"/>
  <c r="D23" i="34" s="1"/>
  <c r="O28" i="18"/>
  <c r="J25" i="18"/>
  <c r="D22" i="29" s="1"/>
  <c r="J27" i="18"/>
  <c r="J29" i="18"/>
  <c r="K25" i="18"/>
  <c r="D22" i="30" s="1"/>
  <c r="K27" i="18"/>
  <c r="D24" i="30" s="1"/>
  <c r="K29" i="18"/>
  <c r="D25" i="30" s="1"/>
  <c r="L25" i="18"/>
  <c r="D22" i="31" s="1"/>
  <c r="L27" i="18"/>
  <c r="D24" i="31" s="1"/>
  <c r="L29" i="18"/>
  <c r="D25" i="31" s="1"/>
  <c r="N25" i="18"/>
  <c r="D22" i="33" s="1"/>
  <c r="N27" i="18"/>
  <c r="D24" i="33" s="1"/>
  <c r="N29" i="18"/>
  <c r="D25" i="33" s="1"/>
  <c r="O25" i="18"/>
  <c r="D22" i="34" s="1"/>
  <c r="O27" i="18"/>
  <c r="D24" i="34" s="1"/>
  <c r="J26" i="18"/>
  <c r="J28" i="18"/>
  <c r="K26" i="18"/>
  <c r="D23" i="30" s="1"/>
  <c r="K28" i="18"/>
  <c r="L26" i="18"/>
  <c r="D23" i="31" s="1"/>
  <c r="L28" i="18"/>
  <c r="M26" i="18"/>
  <c r="D23" i="32" s="1"/>
  <c r="N40" i="7"/>
  <c r="N41" i="7" s="1"/>
  <c r="H35" i="7"/>
  <c r="H39" i="7" s="1"/>
  <c r="I36" i="7"/>
  <c r="I40" i="7" s="1"/>
  <c r="I35" i="7"/>
  <c r="I39" i="7" s="1"/>
  <c r="L35" i="7"/>
  <c r="L39" i="7" s="1"/>
  <c r="E36" i="7"/>
  <c r="E45" i="7" s="1"/>
  <c r="F36" i="7"/>
  <c r="F40" i="7" s="1"/>
  <c r="Q8" i="7"/>
  <c r="Q35" i="7" s="1"/>
  <c r="F35" i="7"/>
  <c r="F39" i="7" s="1"/>
  <c r="G36" i="7"/>
  <c r="G40" i="7" s="1"/>
  <c r="G35" i="7"/>
  <c r="G39" i="7" s="1"/>
  <c r="Q36" i="7"/>
  <c r="P37" i="7"/>
  <c r="J37" i="7"/>
  <c r="M37" i="7"/>
  <c r="D25" i="34"/>
  <c r="K37" i="7"/>
  <c r="O37" i="7"/>
  <c r="D18" i="27"/>
  <c r="D18" i="26"/>
  <c r="D18" i="25"/>
  <c r="E48" i="1"/>
  <c r="D28" i="18"/>
  <c r="E25" i="18"/>
  <c r="G25" i="18"/>
  <c r="I25" i="18"/>
  <c r="F26" i="18"/>
  <c r="H26" i="18"/>
  <c r="E27" i="18"/>
  <c r="G27" i="18"/>
  <c r="I27" i="18"/>
  <c r="F28" i="18"/>
  <c r="H28" i="18"/>
  <c r="E29" i="18"/>
  <c r="G29" i="18"/>
  <c r="I29" i="18"/>
  <c r="D29" i="18"/>
  <c r="F25" i="18"/>
  <c r="H25" i="18"/>
  <c r="E26" i="18"/>
  <c r="G26" i="18"/>
  <c r="I26" i="18"/>
  <c r="F27" i="18"/>
  <c r="H27" i="18"/>
  <c r="E28" i="18"/>
  <c r="G28" i="18"/>
  <c r="I28" i="18"/>
  <c r="F29" i="18"/>
  <c r="H29" i="18"/>
  <c r="P9" i="18"/>
  <c r="P8" i="18"/>
  <c r="O22" i="8"/>
  <c r="K14" i="8"/>
  <c r="M14" i="8"/>
  <c r="O12" i="8"/>
  <c r="O13" i="8" s="1"/>
  <c r="O14" i="8" s="1"/>
  <c r="D14" i="8"/>
  <c r="E47" i="24" s="1"/>
  <c r="F14" i="8"/>
  <c r="E47" i="26" s="1"/>
  <c r="J14" i="8"/>
  <c r="E47" i="30" s="1"/>
  <c r="N14" i="8"/>
  <c r="O18" i="8"/>
  <c r="P3" i="17"/>
  <c r="E20" i="17"/>
  <c r="D32" i="24" s="1"/>
  <c r="G20" i="17"/>
  <c r="I20" i="17"/>
  <c r="K20" i="17"/>
  <c r="M20" i="17"/>
  <c r="O20" i="17"/>
  <c r="D21" i="17"/>
  <c r="F21" i="17"/>
  <c r="H21" i="17"/>
  <c r="J21" i="17"/>
  <c r="L21" i="17"/>
  <c r="N21" i="17"/>
  <c r="E22" i="17"/>
  <c r="G22" i="17"/>
  <c r="I22" i="17"/>
  <c r="K22" i="17"/>
  <c r="M22" i="17"/>
  <c r="O22" i="17"/>
  <c r="D23" i="17"/>
  <c r="F23" i="17"/>
  <c r="H23" i="17"/>
  <c r="J23" i="17"/>
  <c r="L23" i="17"/>
  <c r="N23" i="17"/>
  <c r="E24" i="17"/>
  <c r="G24" i="17"/>
  <c r="I24" i="17"/>
  <c r="K24" i="17"/>
  <c r="M24" i="17"/>
  <c r="D35" i="33" s="1"/>
  <c r="O24" i="17"/>
  <c r="D35" i="34" s="1"/>
  <c r="D20" i="17"/>
  <c r="D32" i="1" s="1"/>
  <c r="F20" i="17"/>
  <c r="H20" i="17"/>
  <c r="J20" i="17"/>
  <c r="L20" i="17"/>
  <c r="N20" i="17"/>
  <c r="E21" i="17"/>
  <c r="G21" i="17"/>
  <c r="I21" i="17"/>
  <c r="K21" i="17"/>
  <c r="M21" i="17"/>
  <c r="O21" i="17"/>
  <c r="D22" i="17"/>
  <c r="F22" i="17"/>
  <c r="H22" i="17"/>
  <c r="J22" i="17"/>
  <c r="L22" i="17"/>
  <c r="N22" i="17"/>
  <c r="E23" i="17"/>
  <c r="G23" i="17"/>
  <c r="I23" i="17"/>
  <c r="K23" i="17"/>
  <c r="M23" i="17"/>
  <c r="O23" i="17"/>
  <c r="D24" i="17"/>
  <c r="F24" i="17"/>
  <c r="H24" i="17"/>
  <c r="J24" i="17"/>
  <c r="L24" i="17"/>
  <c r="E20" i="16"/>
  <c r="G20" i="16"/>
  <c r="I20" i="16"/>
  <c r="K20" i="16"/>
  <c r="M20" i="16"/>
  <c r="O20" i="16"/>
  <c r="D21" i="16"/>
  <c r="F21" i="16"/>
  <c r="H21" i="16"/>
  <c r="J21" i="16"/>
  <c r="L21" i="16"/>
  <c r="N21" i="16"/>
  <c r="E22" i="16"/>
  <c r="G22" i="16"/>
  <c r="I22" i="16"/>
  <c r="K22" i="16"/>
  <c r="M22" i="16"/>
  <c r="O22" i="16"/>
  <c r="D23" i="16"/>
  <c r="F23" i="16"/>
  <c r="H23" i="16"/>
  <c r="J23" i="16"/>
  <c r="L23" i="16"/>
  <c r="N23" i="16"/>
  <c r="E24" i="16"/>
  <c r="G24" i="16"/>
  <c r="I24" i="16"/>
  <c r="K24" i="16"/>
  <c r="M24" i="16"/>
  <c r="D30" i="33" s="1"/>
  <c r="O24" i="16"/>
  <c r="D30" i="34" s="1"/>
  <c r="F20" i="16"/>
  <c r="H20" i="16"/>
  <c r="J20" i="16"/>
  <c r="L20" i="16"/>
  <c r="N20" i="16"/>
  <c r="E21" i="16"/>
  <c r="G21" i="16"/>
  <c r="I21" i="16"/>
  <c r="K21" i="16"/>
  <c r="M21" i="16"/>
  <c r="O21" i="16"/>
  <c r="D22" i="16"/>
  <c r="F22" i="16"/>
  <c r="H22" i="16"/>
  <c r="J22" i="16"/>
  <c r="L22" i="16"/>
  <c r="N22" i="16"/>
  <c r="E23" i="16"/>
  <c r="G23" i="16"/>
  <c r="I23" i="16"/>
  <c r="K23" i="16"/>
  <c r="M23" i="16"/>
  <c r="O23" i="16"/>
  <c r="D24" i="16"/>
  <c r="F24" i="16"/>
  <c r="H24" i="16"/>
  <c r="D30" i="27" s="1"/>
  <c r="J24" i="16"/>
  <c r="L24" i="16"/>
  <c r="E20" i="14"/>
  <c r="G20" i="14"/>
  <c r="I20" i="14"/>
  <c r="K20" i="14"/>
  <c r="M20" i="14"/>
  <c r="O20" i="14"/>
  <c r="D21" i="14"/>
  <c r="F21" i="14"/>
  <c r="H21" i="14"/>
  <c r="J21" i="14"/>
  <c r="L21" i="14"/>
  <c r="N21" i="14"/>
  <c r="I22" i="14"/>
  <c r="K22" i="14"/>
  <c r="M22" i="14"/>
  <c r="O22" i="14"/>
  <c r="D23" i="14"/>
  <c r="F23" i="14"/>
  <c r="H23" i="14"/>
  <c r="J23" i="14"/>
  <c r="L23" i="14"/>
  <c r="N23" i="14"/>
  <c r="E24" i="14"/>
  <c r="G24" i="14"/>
  <c r="I24" i="14"/>
  <c r="K24" i="14"/>
  <c r="M24" i="14"/>
  <c r="D20" i="33" s="1"/>
  <c r="O24" i="14"/>
  <c r="D20" i="34" s="1"/>
  <c r="D20" i="14"/>
  <c r="D16" i="1" s="1"/>
  <c r="F20" i="14"/>
  <c r="H20" i="14"/>
  <c r="J20" i="14"/>
  <c r="L20" i="14"/>
  <c r="N20" i="14"/>
  <c r="E21" i="14"/>
  <c r="G21" i="14"/>
  <c r="I21" i="14"/>
  <c r="K21" i="14"/>
  <c r="M21" i="14"/>
  <c r="O21" i="14"/>
  <c r="D22" i="14"/>
  <c r="D18" i="24" s="1"/>
  <c r="J22" i="14"/>
  <c r="L22" i="14"/>
  <c r="N22" i="14"/>
  <c r="E23" i="14"/>
  <c r="G23" i="14"/>
  <c r="I23" i="14"/>
  <c r="K23" i="14"/>
  <c r="M23" i="14"/>
  <c r="O23" i="14"/>
  <c r="D24" i="14"/>
  <c r="F24" i="14"/>
  <c r="H24" i="14"/>
  <c r="J24" i="14"/>
  <c r="L24" i="14"/>
  <c r="N16" i="12"/>
  <c r="O24" i="12"/>
  <c r="M24" i="12"/>
  <c r="K24" i="12"/>
  <c r="I24" i="12"/>
  <c r="G24" i="12"/>
  <c r="E24" i="12"/>
  <c r="N23" i="12"/>
  <c r="L23" i="12"/>
  <c r="J23" i="12"/>
  <c r="H23" i="12"/>
  <c r="F23" i="12"/>
  <c r="D23" i="12"/>
  <c r="O22" i="12"/>
  <c r="M22" i="12"/>
  <c r="K22" i="12"/>
  <c r="I22" i="12"/>
  <c r="G22" i="12"/>
  <c r="E22" i="12"/>
  <c r="N21" i="12"/>
  <c r="L21" i="12"/>
  <c r="J21" i="12"/>
  <c r="H21" i="12"/>
  <c r="F21" i="12"/>
  <c r="D21" i="12"/>
  <c r="O20" i="12"/>
  <c r="M20" i="12"/>
  <c r="K20" i="12"/>
  <c r="I20" i="12"/>
  <c r="G20" i="12"/>
  <c r="E20" i="12"/>
  <c r="P3" i="12"/>
  <c r="N24" i="12"/>
  <c r="L24" i="12"/>
  <c r="J24" i="12"/>
  <c r="H24" i="12"/>
  <c r="F24" i="12"/>
  <c r="D24" i="12"/>
  <c r="O23" i="12"/>
  <c r="M23" i="12"/>
  <c r="K23" i="12"/>
  <c r="I23" i="12"/>
  <c r="G23" i="12"/>
  <c r="E23" i="12"/>
  <c r="N22" i="12"/>
  <c r="L22" i="12"/>
  <c r="J22" i="12"/>
  <c r="H22" i="12"/>
  <c r="F22" i="12"/>
  <c r="D22" i="12"/>
  <c r="O21" i="12"/>
  <c r="M21" i="12"/>
  <c r="K21" i="12"/>
  <c r="I21" i="12"/>
  <c r="G21" i="12"/>
  <c r="E21" i="12"/>
  <c r="N20" i="12"/>
  <c r="L20" i="12"/>
  <c r="J20" i="12"/>
  <c r="H20" i="12"/>
  <c r="F20" i="12"/>
  <c r="D20" i="12"/>
  <c r="D22" i="32" l="1"/>
  <c r="H22" i="32" s="1"/>
  <c r="M30" i="18"/>
  <c r="M32" i="18" s="1"/>
  <c r="H22" i="31"/>
  <c r="E47" i="34"/>
  <c r="N26" i="8"/>
  <c r="E47" i="33"/>
  <c r="M26" i="8"/>
  <c r="E47" i="31"/>
  <c r="K26" i="8"/>
  <c r="J19" i="8"/>
  <c r="J20" i="8" s="1"/>
  <c r="J26" i="8" s="1"/>
  <c r="I19" i="8"/>
  <c r="I20" i="8" s="1"/>
  <c r="E37" i="7"/>
  <c r="D25" i="12"/>
  <c r="E47" i="28"/>
  <c r="E48" i="28"/>
  <c r="P23" i="4"/>
  <c r="D23" i="29"/>
  <c r="N30" i="18"/>
  <c r="N32" i="18" s="1"/>
  <c r="L30" i="18"/>
  <c r="H23" i="31" s="1"/>
  <c r="K30" i="18"/>
  <c r="K32" i="18" s="1"/>
  <c r="D24" i="29"/>
  <c r="J30" i="18"/>
  <c r="J32" i="18" s="1"/>
  <c r="D25" i="29"/>
  <c r="O30" i="18"/>
  <c r="O32" i="18" s="1"/>
  <c r="P21" i="18"/>
  <c r="L37" i="7"/>
  <c r="I37" i="7"/>
  <c r="E44" i="7"/>
  <c r="F44" i="7" s="1"/>
  <c r="G44" i="7" s="1"/>
  <c r="H44" i="7" s="1"/>
  <c r="I44" i="7" s="1"/>
  <c r="J44" i="7" s="1"/>
  <c r="K44" i="7" s="1"/>
  <c r="L44" i="7" s="1"/>
  <c r="M44" i="7" s="1"/>
  <c r="N44" i="7" s="1"/>
  <c r="O44" i="7" s="1"/>
  <c r="P44" i="7" s="1"/>
  <c r="F45" i="7"/>
  <c r="G45" i="7" s="1"/>
  <c r="H45" i="7" s="1"/>
  <c r="I45" i="7" s="1"/>
  <c r="J45" i="7" s="1"/>
  <c r="K45" i="7" s="1"/>
  <c r="L45" i="7" s="1"/>
  <c r="M45" i="7" s="1"/>
  <c r="N45" i="7" s="1"/>
  <c r="O45" i="7" s="1"/>
  <c r="P45" i="7" s="1"/>
  <c r="F37" i="7"/>
  <c r="Q37" i="7"/>
  <c r="H37" i="7"/>
  <c r="E40" i="7"/>
  <c r="E41" i="7" s="1"/>
  <c r="D37" i="28"/>
  <c r="G37" i="7"/>
  <c r="H22" i="33"/>
  <c r="D39" i="29"/>
  <c r="D33" i="33"/>
  <c r="D40" i="29"/>
  <c r="D28" i="33"/>
  <c r="D17" i="31"/>
  <c r="D19" i="33"/>
  <c r="D33" i="25"/>
  <c r="D30" i="28"/>
  <c r="D29" i="28"/>
  <c r="D27" i="28"/>
  <c r="D40" i="27"/>
  <c r="D39" i="31"/>
  <c r="D39" i="33"/>
  <c r="D17" i="33"/>
  <c r="D39" i="27"/>
  <c r="D33" i="31"/>
  <c r="D33" i="29"/>
  <c r="D25" i="26"/>
  <c r="D33" i="27"/>
  <c r="D16" i="34"/>
  <c r="D24" i="28"/>
  <c r="D30" i="18"/>
  <c r="H23" i="1" s="1"/>
  <c r="D17" i="29"/>
  <c r="D28" i="29"/>
  <c r="D17" i="27"/>
  <c r="D19" i="31"/>
  <c r="D19" i="27"/>
  <c r="D39" i="25"/>
  <c r="D35" i="26"/>
  <c r="D34" i="26"/>
  <c r="D32" i="26"/>
  <c r="D40" i="31"/>
  <c r="D22" i="26"/>
  <c r="D24" i="24"/>
  <c r="D19" i="29"/>
  <c r="D17" i="25"/>
  <c r="D38" i="32"/>
  <c r="D34" i="34"/>
  <c r="D32" i="34"/>
  <c r="D37" i="32"/>
  <c r="D19" i="25"/>
  <c r="D29" i="34"/>
  <c r="D27" i="34"/>
  <c r="D35" i="32"/>
  <c r="D34" i="32"/>
  <c r="D41" i="32"/>
  <c r="D40" i="25"/>
  <c r="D18" i="34"/>
  <c r="D16" i="30"/>
  <c r="D30" i="32"/>
  <c r="D29" i="32"/>
  <c r="D27" i="32"/>
  <c r="D35" i="30"/>
  <c r="D34" i="30"/>
  <c r="D32" i="30"/>
  <c r="D30" i="30"/>
  <c r="D29" i="30"/>
  <c r="D27" i="30"/>
  <c r="D18" i="30"/>
  <c r="D16" i="26"/>
  <c r="D20" i="30"/>
  <c r="D40" i="33"/>
  <c r="D20" i="26"/>
  <c r="D23" i="25"/>
  <c r="D38" i="34"/>
  <c r="D41" i="34"/>
  <c r="D37" i="34"/>
  <c r="D39" i="34"/>
  <c r="D40" i="34"/>
  <c r="D19" i="34"/>
  <c r="D17" i="34"/>
  <c r="D28" i="34"/>
  <c r="D33" i="34"/>
  <c r="H22" i="34"/>
  <c r="D32" i="32"/>
  <c r="D38" i="33"/>
  <c r="D41" i="33"/>
  <c r="D37" i="33"/>
  <c r="D18" i="33"/>
  <c r="D16" i="33"/>
  <c r="D29" i="33"/>
  <c r="D27" i="33"/>
  <c r="D34" i="33"/>
  <c r="D32" i="33"/>
  <c r="D20" i="32"/>
  <c r="D18" i="32"/>
  <c r="D17" i="32"/>
  <c r="D19" i="32"/>
  <c r="D28" i="32"/>
  <c r="D33" i="32"/>
  <c r="D39" i="32"/>
  <c r="D40" i="32"/>
  <c r="D16" i="32"/>
  <c r="D38" i="30"/>
  <c r="D28" i="31"/>
  <c r="D35" i="28"/>
  <c r="D34" i="28"/>
  <c r="D20" i="31"/>
  <c r="D18" i="31"/>
  <c r="D16" i="31"/>
  <c r="D30" i="31"/>
  <c r="D29" i="31"/>
  <c r="D27" i="31"/>
  <c r="D35" i="31"/>
  <c r="D34" i="31"/>
  <c r="D32" i="31"/>
  <c r="D38" i="31"/>
  <c r="D41" i="31"/>
  <c r="D37" i="31"/>
  <c r="D41" i="30"/>
  <c r="D37" i="30"/>
  <c r="D32" i="28"/>
  <c r="H22" i="30"/>
  <c r="D19" i="30"/>
  <c r="D17" i="30"/>
  <c r="D28" i="30"/>
  <c r="D33" i="30"/>
  <c r="D38" i="24"/>
  <c r="D38" i="28"/>
  <c r="D41" i="24"/>
  <c r="D41" i="28"/>
  <c r="D37" i="24"/>
  <c r="D39" i="30"/>
  <c r="D40" i="30"/>
  <c r="D20" i="29"/>
  <c r="D16" i="29"/>
  <c r="D30" i="29"/>
  <c r="D29" i="29"/>
  <c r="D27" i="29"/>
  <c r="D35" i="29"/>
  <c r="D34" i="29"/>
  <c r="D32" i="29"/>
  <c r="D38" i="29"/>
  <c r="D41" i="29"/>
  <c r="D37" i="29"/>
  <c r="D18" i="28"/>
  <c r="D18" i="29"/>
  <c r="D20" i="28"/>
  <c r="D16" i="28"/>
  <c r="D25" i="28"/>
  <c r="D22" i="28"/>
  <c r="D39" i="28"/>
  <c r="D40" i="28"/>
  <c r="D19" i="28"/>
  <c r="D17" i="28"/>
  <c r="D28" i="28"/>
  <c r="D33" i="28"/>
  <c r="D23" i="28"/>
  <c r="D38" i="26"/>
  <c r="D41" i="26"/>
  <c r="D37" i="26"/>
  <c r="D28" i="27"/>
  <c r="D23" i="27"/>
  <c r="D20" i="27"/>
  <c r="D16" i="27"/>
  <c r="D29" i="27"/>
  <c r="D27" i="27"/>
  <c r="D35" i="27"/>
  <c r="D34" i="27"/>
  <c r="D32" i="27"/>
  <c r="D25" i="27"/>
  <c r="D22" i="27"/>
  <c r="D38" i="27"/>
  <c r="D41" i="27"/>
  <c r="D37" i="27"/>
  <c r="D24" i="27"/>
  <c r="D24" i="26"/>
  <c r="D39" i="26"/>
  <c r="D40" i="26"/>
  <c r="D19" i="26"/>
  <c r="D17" i="26"/>
  <c r="D33" i="26"/>
  <c r="D23" i="26"/>
  <c r="D35" i="24"/>
  <c r="D34" i="24"/>
  <c r="E14" i="8"/>
  <c r="E47" i="25" s="1"/>
  <c r="E48" i="25"/>
  <c r="D20" i="24"/>
  <c r="D20" i="25"/>
  <c r="D16" i="25"/>
  <c r="D35" i="25"/>
  <c r="D34" i="25"/>
  <c r="D32" i="25"/>
  <c r="D25" i="25"/>
  <c r="D38" i="25"/>
  <c r="D41" i="25"/>
  <c r="D37" i="25"/>
  <c r="D24" i="25"/>
  <c r="D22" i="24"/>
  <c r="D22" i="25"/>
  <c r="D16" i="24"/>
  <c r="D25" i="24"/>
  <c r="D19" i="24"/>
  <c r="D17" i="24"/>
  <c r="D33" i="24"/>
  <c r="D23" i="24"/>
  <c r="D39" i="24"/>
  <c r="D40" i="24"/>
  <c r="D38" i="1"/>
  <c r="D39" i="1"/>
  <c r="D40" i="1"/>
  <c r="D20" i="1"/>
  <c r="D18" i="1"/>
  <c r="D33" i="1"/>
  <c r="D25" i="1"/>
  <c r="D41" i="1"/>
  <c r="D37" i="1"/>
  <c r="D19" i="1"/>
  <c r="D17" i="1"/>
  <c r="D35" i="1"/>
  <c r="D34" i="1"/>
  <c r="D24" i="1"/>
  <c r="D23" i="1"/>
  <c r="P25" i="18"/>
  <c r="F30" i="18"/>
  <c r="P27" i="18"/>
  <c r="G30" i="18"/>
  <c r="P28" i="18"/>
  <c r="H30" i="18"/>
  <c r="P29" i="18"/>
  <c r="I30" i="18"/>
  <c r="E30" i="18"/>
  <c r="P26" i="18"/>
  <c r="G23" i="8"/>
  <c r="G24" i="8" s="1"/>
  <c r="C23" i="8"/>
  <c r="C24" i="8" s="1"/>
  <c r="H23" i="8"/>
  <c r="H24" i="8" s="1"/>
  <c r="D23" i="8"/>
  <c r="D24" i="8" s="1"/>
  <c r="O23" i="8"/>
  <c r="O24" i="8" s="1"/>
  <c r="E23" i="8"/>
  <c r="E24" i="8" s="1"/>
  <c r="F23" i="8"/>
  <c r="F24" i="8" s="1"/>
  <c r="O19" i="8"/>
  <c r="O20" i="8" s="1"/>
  <c r="G19" i="8"/>
  <c r="G20" i="8" s="1"/>
  <c r="H20" i="8"/>
  <c r="D19" i="8"/>
  <c r="D20" i="8" s="1"/>
  <c r="E19" i="8"/>
  <c r="E20" i="8" s="1"/>
  <c r="F19" i="8"/>
  <c r="F20" i="8" s="1"/>
  <c r="C19" i="8"/>
  <c r="C20" i="8" s="1"/>
  <c r="G13" i="8"/>
  <c r="I13" i="8"/>
  <c r="P24" i="17"/>
  <c r="P22" i="17"/>
  <c r="L25" i="17"/>
  <c r="L29" i="17" s="1"/>
  <c r="L30" i="17" s="1"/>
  <c r="H25" i="17"/>
  <c r="H29" i="17" s="1"/>
  <c r="H30" i="17" s="1"/>
  <c r="P20" i="17"/>
  <c r="D25" i="17"/>
  <c r="D29" i="17" s="1"/>
  <c r="D30" i="17" s="1"/>
  <c r="O25" i="17"/>
  <c r="K25" i="17"/>
  <c r="K29" i="17" s="1"/>
  <c r="K30" i="17" s="1"/>
  <c r="G25" i="17"/>
  <c r="G29" i="17" s="1"/>
  <c r="G30" i="17" s="1"/>
  <c r="N25" i="17"/>
  <c r="N29" i="17" s="1"/>
  <c r="N30" i="17" s="1"/>
  <c r="J25" i="17"/>
  <c r="J29" i="17" s="1"/>
  <c r="J30" i="17" s="1"/>
  <c r="F25" i="17"/>
  <c r="F29" i="17" s="1"/>
  <c r="F30" i="17" s="1"/>
  <c r="P16" i="17"/>
  <c r="O17" i="17"/>
  <c r="P23" i="17"/>
  <c r="P21" i="17"/>
  <c r="M25" i="17"/>
  <c r="M29" i="17" s="1"/>
  <c r="M30" i="17" s="1"/>
  <c r="I25" i="17"/>
  <c r="I29" i="17" s="1"/>
  <c r="I30" i="17" s="1"/>
  <c r="E25" i="17"/>
  <c r="E29" i="17" s="1"/>
  <c r="E30" i="17" s="1"/>
  <c r="N25" i="16"/>
  <c r="N29" i="16" s="1"/>
  <c r="N30" i="16" s="1"/>
  <c r="J25" i="16"/>
  <c r="J29" i="16" s="1"/>
  <c r="J30" i="16" s="1"/>
  <c r="F25" i="16"/>
  <c r="F29" i="16" s="1"/>
  <c r="F30" i="16" s="1"/>
  <c r="P16" i="16"/>
  <c r="P23" i="16"/>
  <c r="P21" i="16"/>
  <c r="M25" i="16"/>
  <c r="M29" i="16" s="1"/>
  <c r="M30" i="16" s="1"/>
  <c r="I25" i="16"/>
  <c r="I29" i="16" s="1"/>
  <c r="I30" i="16" s="1"/>
  <c r="E25" i="16"/>
  <c r="P24" i="16"/>
  <c r="P22" i="16"/>
  <c r="L25" i="16"/>
  <c r="L29" i="16" s="1"/>
  <c r="L30" i="16" s="1"/>
  <c r="H25" i="16"/>
  <c r="H29" i="16" s="1"/>
  <c r="H30" i="16" s="1"/>
  <c r="P20" i="16"/>
  <c r="D25" i="16"/>
  <c r="D29" i="16" s="1"/>
  <c r="O25" i="16"/>
  <c r="K25" i="16"/>
  <c r="K29" i="16" s="1"/>
  <c r="K30" i="16" s="1"/>
  <c r="G25" i="16"/>
  <c r="G29" i="16" s="1"/>
  <c r="G30" i="16" s="1"/>
  <c r="F41" i="7"/>
  <c r="P24" i="14"/>
  <c r="P22" i="14"/>
  <c r="L25" i="14"/>
  <c r="H25" i="14"/>
  <c r="P20" i="14"/>
  <c r="D25" i="14"/>
  <c r="P23" i="14"/>
  <c r="P21" i="14"/>
  <c r="M25" i="14"/>
  <c r="I25" i="14"/>
  <c r="E25" i="14"/>
  <c r="N25" i="14"/>
  <c r="J25" i="14"/>
  <c r="F25" i="14"/>
  <c r="P16" i="14"/>
  <c r="O17" i="14"/>
  <c r="O25" i="14"/>
  <c r="O27" i="14" s="1"/>
  <c r="K25" i="14"/>
  <c r="G25" i="14"/>
  <c r="H25" i="12"/>
  <c r="L25" i="12"/>
  <c r="P22" i="12"/>
  <c r="P24" i="12"/>
  <c r="G25" i="12"/>
  <c r="K25" i="12"/>
  <c r="O25" i="12"/>
  <c r="O27" i="12" s="1"/>
  <c r="P20" i="12"/>
  <c r="O17" i="12"/>
  <c r="P16" i="12"/>
  <c r="F25" i="12"/>
  <c r="J25" i="12"/>
  <c r="N25" i="12"/>
  <c r="E25" i="12"/>
  <c r="I25" i="12"/>
  <c r="M25" i="12"/>
  <c r="P21" i="12"/>
  <c r="P23" i="12"/>
  <c r="E47" i="1"/>
  <c r="E45" i="32" l="1"/>
  <c r="E46" i="32"/>
  <c r="E44" i="33"/>
  <c r="E45" i="33"/>
  <c r="H22" i="29"/>
  <c r="E44" i="29"/>
  <c r="O26" i="8"/>
  <c r="H26" i="8"/>
  <c r="E43" i="24"/>
  <c r="E45" i="30"/>
  <c r="E44" i="31"/>
  <c r="E44" i="32"/>
  <c r="E45" i="31"/>
  <c r="E44" i="30"/>
  <c r="E45" i="29"/>
  <c r="E45" i="28"/>
  <c r="E44" i="28"/>
  <c r="E45" i="27"/>
  <c r="E44" i="26"/>
  <c r="E44" i="27"/>
  <c r="E45" i="26"/>
  <c r="E45" i="25"/>
  <c r="E44" i="25"/>
  <c r="E45" i="1"/>
  <c r="E45" i="24"/>
  <c r="E46" i="1"/>
  <c r="O27" i="17"/>
  <c r="O29" i="17"/>
  <c r="D30" i="16"/>
  <c r="E29" i="16"/>
  <c r="E30" i="16" s="1"/>
  <c r="E44" i="24" s="1"/>
  <c r="O27" i="16"/>
  <c r="O29" i="16"/>
  <c r="E43" i="1"/>
  <c r="H27" i="24"/>
  <c r="H27" i="1"/>
  <c r="E26" i="8"/>
  <c r="G14" i="8"/>
  <c r="E47" i="27" s="1"/>
  <c r="E48" i="27"/>
  <c r="I14" i="8"/>
  <c r="E47" i="29" s="1"/>
  <c r="E48" i="29"/>
  <c r="E46" i="7"/>
  <c r="H23" i="33"/>
  <c r="H24" i="33" s="1"/>
  <c r="H23" i="32"/>
  <c r="H24" i="32" s="1"/>
  <c r="H23" i="34"/>
  <c r="H24" i="34" s="1"/>
  <c r="H24" i="31"/>
  <c r="L32" i="18"/>
  <c r="H23" i="30"/>
  <c r="H24" i="30" s="1"/>
  <c r="D32" i="18"/>
  <c r="H27" i="34"/>
  <c r="H27" i="28"/>
  <c r="H32" i="26"/>
  <c r="H32" i="34"/>
  <c r="H16" i="34"/>
  <c r="H27" i="32"/>
  <c r="H32" i="30"/>
  <c r="H37" i="34"/>
  <c r="H16" i="33"/>
  <c r="H32" i="33"/>
  <c r="E46" i="33"/>
  <c r="E46" i="34"/>
  <c r="H16" i="32"/>
  <c r="H37" i="33"/>
  <c r="N27" i="12"/>
  <c r="H38" i="34"/>
  <c r="N27" i="14"/>
  <c r="H17" i="34"/>
  <c r="N27" i="16"/>
  <c r="H28" i="34"/>
  <c r="N27" i="17"/>
  <c r="H33" i="34"/>
  <c r="H27" i="33"/>
  <c r="M27" i="12"/>
  <c r="H38" i="33"/>
  <c r="M27" i="16"/>
  <c r="H28" i="33"/>
  <c r="M27" i="17"/>
  <c r="H33" i="33"/>
  <c r="M27" i="14"/>
  <c r="H17" i="33"/>
  <c r="H32" i="32"/>
  <c r="H37" i="32"/>
  <c r="H16" i="31"/>
  <c r="L27" i="14"/>
  <c r="H17" i="32"/>
  <c r="L27" i="16"/>
  <c r="H28" i="32"/>
  <c r="L27" i="12"/>
  <c r="H38" i="32"/>
  <c r="L27" i="17"/>
  <c r="H33" i="32"/>
  <c r="E46" i="31"/>
  <c r="H32" i="31"/>
  <c r="H37" i="30"/>
  <c r="H16" i="30"/>
  <c r="H37" i="31"/>
  <c r="H27" i="31"/>
  <c r="H16" i="29"/>
  <c r="K27" i="12"/>
  <c r="H38" i="31"/>
  <c r="K27" i="17"/>
  <c r="H33" i="31"/>
  <c r="K27" i="14"/>
  <c r="H17" i="31"/>
  <c r="K27" i="16"/>
  <c r="H28" i="31"/>
  <c r="H27" i="30"/>
  <c r="E46" i="30"/>
  <c r="J27" i="12"/>
  <c r="H38" i="30"/>
  <c r="J27" i="16"/>
  <c r="H28" i="30"/>
  <c r="J27" i="17"/>
  <c r="H33" i="30"/>
  <c r="J27" i="14"/>
  <c r="H17" i="30"/>
  <c r="H22" i="28"/>
  <c r="E46" i="29"/>
  <c r="H27" i="29"/>
  <c r="H37" i="29"/>
  <c r="H32" i="29"/>
  <c r="H37" i="28"/>
  <c r="I27" i="12"/>
  <c r="H38" i="29"/>
  <c r="I27" i="16"/>
  <c r="H28" i="29"/>
  <c r="I27" i="17"/>
  <c r="H33" i="29"/>
  <c r="I32" i="18"/>
  <c r="H23" i="29"/>
  <c r="I27" i="14"/>
  <c r="H17" i="29"/>
  <c r="H32" i="28"/>
  <c r="H16" i="27"/>
  <c r="H16" i="28"/>
  <c r="E46" i="28"/>
  <c r="H27" i="27"/>
  <c r="H27" i="26"/>
  <c r="H22" i="26"/>
  <c r="E46" i="26"/>
  <c r="H22" i="27"/>
  <c r="H37" i="27"/>
  <c r="H32" i="27"/>
  <c r="H27" i="17"/>
  <c r="H33" i="28"/>
  <c r="H32" i="18"/>
  <c r="H23" i="28"/>
  <c r="H27" i="12"/>
  <c r="H38" i="28"/>
  <c r="H27" i="14"/>
  <c r="H17" i="28"/>
  <c r="H27" i="16"/>
  <c r="H28" i="28"/>
  <c r="E46" i="27"/>
  <c r="H16" i="26"/>
  <c r="H37" i="26"/>
  <c r="G32" i="18"/>
  <c r="H23" i="27"/>
  <c r="G27" i="14"/>
  <c r="H17" i="27"/>
  <c r="G27" i="16"/>
  <c r="H28" i="27"/>
  <c r="G27" i="12"/>
  <c r="H38" i="27"/>
  <c r="G27" i="17"/>
  <c r="H33" i="27"/>
  <c r="F27" i="12"/>
  <c r="H38" i="26"/>
  <c r="F27" i="16"/>
  <c r="F27" i="17"/>
  <c r="H33" i="26"/>
  <c r="F32" i="18"/>
  <c r="H23" i="26"/>
  <c r="F27" i="14"/>
  <c r="H17" i="26"/>
  <c r="E46" i="25"/>
  <c r="H27" i="25"/>
  <c r="H16" i="25"/>
  <c r="H22" i="25"/>
  <c r="H37" i="25"/>
  <c r="H32" i="25"/>
  <c r="H17" i="25"/>
  <c r="H38" i="25"/>
  <c r="H33" i="25"/>
  <c r="H32" i="24"/>
  <c r="H16" i="24"/>
  <c r="H23" i="24"/>
  <c r="H23" i="25"/>
  <c r="H37" i="24"/>
  <c r="E46" i="24"/>
  <c r="H22" i="24"/>
  <c r="H17" i="24"/>
  <c r="H38" i="24"/>
  <c r="H33" i="24"/>
  <c r="F46" i="7"/>
  <c r="H22" i="1"/>
  <c r="H24" i="1" s="1"/>
  <c r="E27" i="12"/>
  <c r="E27" i="14"/>
  <c r="E27" i="16"/>
  <c r="E27" i="17"/>
  <c r="H17" i="1"/>
  <c r="H33" i="1"/>
  <c r="H37" i="1"/>
  <c r="H32" i="1"/>
  <c r="D27" i="12"/>
  <c r="H38" i="1"/>
  <c r="H16" i="1"/>
  <c r="D27" i="16"/>
  <c r="D27" i="14"/>
  <c r="P30" i="18"/>
  <c r="P32" i="18" s="1"/>
  <c r="E32" i="18"/>
  <c r="F26" i="8"/>
  <c r="D26" i="8"/>
  <c r="C26" i="8"/>
  <c r="P25" i="17"/>
  <c r="P27" i="17" s="1"/>
  <c r="D27" i="17"/>
  <c r="P25" i="16"/>
  <c r="P27" i="16" s="1"/>
  <c r="G41" i="7"/>
  <c r="E43" i="25" s="1"/>
  <c r="P25" i="14"/>
  <c r="P27" i="14" s="1"/>
  <c r="P25" i="12"/>
  <c r="P27" i="12" s="1"/>
  <c r="I26" i="8" l="1"/>
  <c r="E44" i="1"/>
  <c r="O30" i="17"/>
  <c r="E45" i="34" s="1"/>
  <c r="P29" i="17"/>
  <c r="P30" i="17" s="1"/>
  <c r="O30" i="16"/>
  <c r="E44" i="34" s="1"/>
  <c r="P29" i="16"/>
  <c r="P30" i="16" s="1"/>
  <c r="H29" i="1"/>
  <c r="H18" i="24"/>
  <c r="G26" i="8"/>
  <c r="H24" i="29"/>
  <c r="H18" i="31"/>
  <c r="H29" i="34"/>
  <c r="H29" i="28"/>
  <c r="H34" i="26"/>
  <c r="H29" i="24"/>
  <c r="H18" i="29"/>
  <c r="H18" i="34"/>
  <c r="H39" i="27"/>
  <c r="H34" i="34"/>
  <c r="H34" i="33"/>
  <c r="H39" i="34"/>
  <c r="H34" i="30"/>
  <c r="H24" i="26"/>
  <c r="H18" i="30"/>
  <c r="H39" i="30"/>
  <c r="H29" i="32"/>
  <c r="H39" i="33"/>
  <c r="H34" i="25"/>
  <c r="H18" i="32"/>
  <c r="H29" i="30"/>
  <c r="H18" i="33"/>
  <c r="H39" i="31"/>
  <c r="H34" i="32"/>
  <c r="H34" i="24"/>
  <c r="H34" i="29"/>
  <c r="H29" i="25"/>
  <c r="H18" i="27"/>
  <c r="H29" i="33"/>
  <c r="H34" i="31"/>
  <c r="H39" i="32"/>
  <c r="H29" i="31"/>
  <c r="H34" i="27"/>
  <c r="H29" i="27"/>
  <c r="H39" i="28"/>
  <c r="H24" i="28"/>
  <c r="H24" i="27"/>
  <c r="H29" i="29"/>
  <c r="H39" i="29"/>
  <c r="H29" i="26"/>
  <c r="H34" i="28"/>
  <c r="H18" i="26"/>
  <c r="H18" i="28"/>
  <c r="H39" i="26"/>
  <c r="H24" i="24"/>
  <c r="H24" i="25"/>
  <c r="H18" i="25"/>
  <c r="H39" i="24"/>
  <c r="H39" i="25"/>
  <c r="H46" i="7"/>
  <c r="G46" i="7"/>
  <c r="H18" i="1"/>
  <c r="H34" i="1"/>
  <c r="H39" i="1"/>
  <c r="H41" i="7"/>
  <c r="H15" i="3"/>
  <c r="H13" i="3"/>
  <c r="H12" i="3"/>
  <c r="H11" i="3"/>
  <c r="H10" i="3"/>
  <c r="H9" i="3"/>
  <c r="H8" i="3"/>
  <c r="H7" i="3"/>
  <c r="H6" i="3"/>
  <c r="H5" i="3"/>
  <c r="H4" i="3"/>
  <c r="H3" i="3"/>
  <c r="F15" i="3"/>
  <c r="F13" i="3"/>
  <c r="F12" i="3"/>
  <c r="F11" i="3"/>
  <c r="F10" i="3"/>
  <c r="F9" i="3"/>
  <c r="F8" i="3"/>
  <c r="F7" i="3"/>
  <c r="F6" i="3"/>
  <c r="F5" i="3"/>
  <c r="F4" i="3"/>
  <c r="F3" i="3"/>
  <c r="D15" i="3"/>
  <c r="D13" i="3"/>
  <c r="D12" i="3"/>
  <c r="D11" i="3"/>
  <c r="D10" i="3"/>
  <c r="D9" i="3"/>
  <c r="D8" i="3"/>
  <c r="D7" i="3"/>
  <c r="D6" i="3"/>
  <c r="D5" i="3"/>
  <c r="D3" i="3"/>
  <c r="D4" i="3"/>
  <c r="P12" i="4"/>
  <c r="P11" i="4"/>
  <c r="P10" i="4"/>
  <c r="P9" i="4"/>
  <c r="P8" i="4"/>
  <c r="P7" i="4"/>
  <c r="P6" i="4"/>
  <c r="E43" i="26" l="1"/>
  <c r="I41" i="7"/>
  <c r="E43" i="27" s="1"/>
  <c r="O22" i="4"/>
  <c r="O24" i="4"/>
  <c r="O20" i="4"/>
  <c r="O21" i="4"/>
  <c r="P15" i="4"/>
  <c r="D20" i="4"/>
  <c r="F20" i="4"/>
  <c r="H20" i="4"/>
  <c r="J20" i="4"/>
  <c r="L20" i="4"/>
  <c r="N20" i="4"/>
  <c r="M24" i="4"/>
  <c r="K24" i="4"/>
  <c r="I24" i="4"/>
  <c r="G24" i="4"/>
  <c r="E24" i="4"/>
  <c r="N22" i="4"/>
  <c r="L22" i="4"/>
  <c r="J22" i="4"/>
  <c r="M21" i="4"/>
  <c r="K21" i="4"/>
  <c r="I21" i="4"/>
  <c r="G21" i="4"/>
  <c r="E21" i="4"/>
  <c r="D21" i="4"/>
  <c r="D24" i="4"/>
  <c r="E20" i="4"/>
  <c r="G20" i="4"/>
  <c r="I20" i="4"/>
  <c r="K20" i="4"/>
  <c r="M20" i="4"/>
  <c r="N24" i="4"/>
  <c r="L24" i="4"/>
  <c r="J24" i="4"/>
  <c r="H24" i="4"/>
  <c r="F24" i="4"/>
  <c r="M22" i="4"/>
  <c r="K22" i="4"/>
  <c r="I22" i="4"/>
  <c r="N21" i="4"/>
  <c r="L21" i="4"/>
  <c r="J21" i="4"/>
  <c r="H21" i="4"/>
  <c r="F21" i="4"/>
  <c r="D22" i="4"/>
  <c r="F22" i="4"/>
  <c r="H22" i="4"/>
  <c r="E22" i="4"/>
  <c r="G22" i="4"/>
  <c r="N16" i="4"/>
  <c r="O16" i="4"/>
  <c r="D11" i="28" l="1"/>
  <c r="D10" i="33"/>
  <c r="D14" i="32"/>
  <c r="D10" i="31"/>
  <c r="D12" i="29"/>
  <c r="D10" i="25"/>
  <c r="D11" i="26"/>
  <c r="D14" i="34"/>
  <c r="D11" i="32"/>
  <c r="D10" i="29"/>
  <c r="D11" i="30"/>
  <c r="D12" i="34"/>
  <c r="D11" i="34"/>
  <c r="D10" i="27"/>
  <c r="D14" i="26"/>
  <c r="D14" i="30"/>
  <c r="D12" i="25"/>
  <c r="D12" i="28"/>
  <c r="D12" i="33"/>
  <c r="D14" i="28"/>
  <c r="D10" i="34"/>
  <c r="D12" i="31"/>
  <c r="D14" i="24"/>
  <c r="D12" i="27"/>
  <c r="D11" i="33"/>
  <c r="D14" i="33"/>
  <c r="D12" i="32"/>
  <c r="D10" i="32"/>
  <c r="D11" i="31"/>
  <c r="D14" i="31"/>
  <c r="D12" i="30"/>
  <c r="D10" i="30"/>
  <c r="D11" i="29"/>
  <c r="D14" i="29"/>
  <c r="D10" i="28"/>
  <c r="D11" i="27"/>
  <c r="D14" i="27"/>
  <c r="D10" i="26"/>
  <c r="D12" i="26"/>
  <c r="D11" i="25"/>
  <c r="D14" i="25"/>
  <c r="D11" i="24"/>
  <c r="D12" i="24"/>
  <c r="D10" i="24"/>
  <c r="I46" i="7"/>
  <c r="D14" i="1"/>
  <c r="D10" i="1"/>
  <c r="D12" i="1"/>
  <c r="D11" i="1"/>
  <c r="J41" i="7"/>
  <c r="O25" i="4"/>
  <c r="O27" i="4" s="1"/>
  <c r="P16" i="4"/>
  <c r="P24" i="4"/>
  <c r="P22" i="4"/>
  <c r="P21" i="4"/>
  <c r="P20" i="4"/>
  <c r="J25" i="4"/>
  <c r="N25" i="4"/>
  <c r="L25" i="4"/>
  <c r="H25" i="4"/>
  <c r="M25" i="4"/>
  <c r="I25" i="4"/>
  <c r="E25" i="4"/>
  <c r="F25" i="4"/>
  <c r="K25" i="4"/>
  <c r="G25" i="4"/>
  <c r="D25" i="4"/>
  <c r="O17" i="4"/>
  <c r="H10" i="29" l="1"/>
  <c r="E55" i="24"/>
  <c r="E55" i="1"/>
  <c r="E58" i="1" s="1"/>
  <c r="D58" i="1"/>
  <c r="D58" i="24"/>
  <c r="D58" i="34"/>
  <c r="D58" i="28"/>
  <c r="H11" i="24"/>
  <c r="H10" i="34"/>
  <c r="H10" i="1"/>
  <c r="N27" i="4"/>
  <c r="H11" i="34"/>
  <c r="D58" i="33"/>
  <c r="H10" i="33"/>
  <c r="M27" i="4"/>
  <c r="H11" i="33"/>
  <c r="D58" i="32"/>
  <c r="H10" i="32"/>
  <c r="L27" i="4"/>
  <c r="H11" i="32"/>
  <c r="D58" i="31"/>
  <c r="H10" i="31"/>
  <c r="K27" i="4"/>
  <c r="H11" i="31"/>
  <c r="D58" i="30"/>
  <c r="H10" i="30"/>
  <c r="J27" i="4"/>
  <c r="H11" i="30"/>
  <c r="D58" i="29"/>
  <c r="I27" i="4"/>
  <c r="H11" i="29"/>
  <c r="E43" i="28"/>
  <c r="E55" i="28" s="1"/>
  <c r="H55" i="28" s="1"/>
  <c r="H10" i="28"/>
  <c r="D58" i="27"/>
  <c r="H27" i="4"/>
  <c r="H11" i="28"/>
  <c r="E55" i="27"/>
  <c r="H55" i="27" s="1"/>
  <c r="H10" i="27"/>
  <c r="D58" i="26"/>
  <c r="G27" i="4"/>
  <c r="H11" i="27"/>
  <c r="H10" i="26"/>
  <c r="E55" i="26"/>
  <c r="H55" i="26" s="1"/>
  <c r="F27" i="4"/>
  <c r="H11" i="26"/>
  <c r="H11" i="25"/>
  <c r="D58" i="25"/>
  <c r="H10" i="25"/>
  <c r="E55" i="25"/>
  <c r="E58" i="25" s="1"/>
  <c r="H10" i="24"/>
  <c r="J46" i="7"/>
  <c r="E27" i="4"/>
  <c r="D27" i="4"/>
  <c r="H11" i="1"/>
  <c r="K41" i="7"/>
  <c r="P25" i="4"/>
  <c r="P27" i="4" s="1"/>
  <c r="E58" i="24" l="1"/>
  <c r="D59" i="24" s="1"/>
  <c r="H55" i="24"/>
  <c r="H55" i="1"/>
  <c r="H12" i="34"/>
  <c r="H12" i="25"/>
  <c r="H12" i="33"/>
  <c r="H12" i="30"/>
  <c r="H12" i="31"/>
  <c r="H12" i="24"/>
  <c r="H12" i="32"/>
  <c r="E43" i="29"/>
  <c r="E55" i="29" s="1"/>
  <c r="H55" i="29" s="1"/>
  <c r="H12" i="29"/>
  <c r="H12" i="28"/>
  <c r="E58" i="28"/>
  <c r="D59" i="28" s="1"/>
  <c r="E58" i="27"/>
  <c r="D59" i="27" s="1"/>
  <c r="H12" i="27"/>
  <c r="H12" i="26"/>
  <c r="E58" i="26"/>
  <c r="D59" i="26" s="1"/>
  <c r="D59" i="25"/>
  <c r="H55" i="25"/>
  <c r="K46" i="7"/>
  <c r="L41" i="7"/>
  <c r="H12" i="1"/>
  <c r="E43" i="30" l="1"/>
  <c r="E55" i="30" s="1"/>
  <c r="H55" i="30" s="1"/>
  <c r="E58" i="29"/>
  <c r="D59" i="29" s="1"/>
  <c r="L46" i="7"/>
  <c r="D59" i="1"/>
  <c r="M41" i="7"/>
  <c r="E43" i="31" s="1"/>
  <c r="E55" i="31" s="1"/>
  <c r="H55" i="31" l="1"/>
  <c r="E58" i="30"/>
  <c r="D59" i="30" s="1"/>
  <c r="M46" i="7"/>
  <c r="E43" i="32" l="1"/>
  <c r="E55" i="32" s="1"/>
  <c r="H55" i="32" s="1"/>
  <c r="E58" i="31"/>
  <c r="D59" i="31" s="1"/>
  <c r="N46" i="7"/>
  <c r="Q39" i="7"/>
  <c r="O41" i="7"/>
  <c r="E43" i="33" s="1"/>
  <c r="E58" i="32" l="1"/>
  <c r="D59" i="32" s="1"/>
  <c r="E55" i="33"/>
  <c r="H55" i="33" s="1"/>
  <c r="Q40" i="7"/>
  <c r="Q41" i="7" s="1"/>
  <c r="O46" i="7"/>
  <c r="P41" i="7"/>
  <c r="Q45" i="7" s="1"/>
  <c r="E43" i="34" l="1"/>
  <c r="E55" i="34" s="1"/>
  <c r="H55" i="34" s="1"/>
  <c r="E58" i="33"/>
  <c r="D59" i="33" s="1"/>
  <c r="Q44" i="7"/>
  <c r="Q46" i="7" s="1"/>
  <c r="P46" i="7"/>
  <c r="E58" i="34" l="1"/>
  <c r="D59" i="34" s="1"/>
</calcChain>
</file>

<file path=xl/sharedStrings.xml><?xml version="1.0" encoding="utf-8"?>
<sst xmlns="http://schemas.openxmlformats.org/spreadsheetml/2006/main" count="1885" uniqueCount="512">
  <si>
    <t>Débit</t>
  </si>
  <si>
    <t>Crédit</t>
  </si>
  <si>
    <t>Total pour vérification</t>
  </si>
  <si>
    <t>N° compte</t>
  </si>
  <si>
    <t>Libellé</t>
  </si>
  <si>
    <t>Salaires</t>
  </si>
  <si>
    <t>Kontonummer</t>
  </si>
  <si>
    <t>Name</t>
  </si>
  <si>
    <t>Actifs</t>
  </si>
  <si>
    <t>Actifs circulants</t>
  </si>
  <si>
    <t>Trésorerie</t>
  </si>
  <si>
    <t>Banque UBS CHF (UBS Switzerland AG)</t>
  </si>
  <si>
    <t>Banque UBS EUR (UBS Switzerland AG)</t>
  </si>
  <si>
    <t>Banque Compte d'épargne garantie loyer UBS CHF (UBS Switzerland AG)</t>
  </si>
  <si>
    <t>Banque Compte de caution ancien bureau CHF (UBS Switzerland AG)</t>
  </si>
  <si>
    <t>Banque</t>
  </si>
  <si>
    <t>Compte de transfert</t>
  </si>
  <si>
    <t>Compte de transfert TVA</t>
  </si>
  <si>
    <t>Compte de transfert NF</t>
  </si>
  <si>
    <t>Compte de transfert CB SR</t>
  </si>
  <si>
    <t>Compte de transfert salaires et charges sociales</t>
  </si>
  <si>
    <t>Compte d'attente pour des montants inexpliqués</t>
  </si>
  <si>
    <t>Créances résultant de la vente de biens et de prestations de services (débiteurs)</t>
  </si>
  <si>
    <t>Créances net résultant de prestations de services aux parties liées</t>
  </si>
  <si>
    <t>Corrections de la valeur des ventes de biens et de prestations de service (ducroire)</t>
  </si>
  <si>
    <t>Autres créances à court terme</t>
  </si>
  <si>
    <t>Impôt préalable: TVA sur matériel, marchandises, prestations et énergie, cl. 4</t>
  </si>
  <si>
    <t>Impôt préalable: TVA sur investissements et autres charges, cl. 1/5-8</t>
  </si>
  <si>
    <t>Compensation impôt préalable selon méthode de décompte</t>
  </si>
  <si>
    <t>Réduction de l'impôt préalable</t>
  </si>
  <si>
    <t>Correction de l'impôt préalable</t>
  </si>
  <si>
    <t>Décompte TVA</t>
  </si>
  <si>
    <t>Compte courant assurance-accidents</t>
  </si>
  <si>
    <t>Compte courant indemnités journalières</t>
  </si>
  <si>
    <t>Compte courant impôt à la source</t>
  </si>
  <si>
    <t>Avoirs WIR</t>
  </si>
  <si>
    <t>Acomptes versés</t>
  </si>
  <si>
    <t>Stocks et prestations de services non facturées</t>
  </si>
  <si>
    <t>Marchandises commerciales</t>
  </si>
  <si>
    <t>Acomptes pour marchandises commerciales</t>
  </si>
  <si>
    <t>Prestations non facturées</t>
  </si>
  <si>
    <t>Variations de stock des prestations non facturées</t>
  </si>
  <si>
    <t>Actifs de régularisation</t>
  </si>
  <si>
    <t>Charges payées d'avance (TA)</t>
  </si>
  <si>
    <t>Produits à recevoir (TA)</t>
  </si>
  <si>
    <t>Actifs immobilisés</t>
  </si>
  <si>
    <t>Immobilisations financières</t>
  </si>
  <si>
    <t>Immobilisations incorporelles</t>
  </si>
  <si>
    <t>Immobilisations corporelles meubles</t>
  </si>
  <si>
    <t>Machines et appareils</t>
  </si>
  <si>
    <t>Mobilier et installations</t>
  </si>
  <si>
    <t>Installations/équipements d'ateliers</t>
  </si>
  <si>
    <t>Mobilier de bureau</t>
  </si>
  <si>
    <t>Machines de bureau</t>
  </si>
  <si>
    <t>Informatique</t>
  </si>
  <si>
    <t>Véhicules</t>
  </si>
  <si>
    <t>Instruments et outillage</t>
  </si>
  <si>
    <t>Installations de stockage</t>
  </si>
  <si>
    <t>Capital social ou capital de la fondation non libéré</t>
  </si>
  <si>
    <t>Capital social non versé</t>
  </si>
  <si>
    <t>Passifs</t>
  </si>
  <si>
    <t>Capitaux étrangers à court terme</t>
  </si>
  <si>
    <t>Dettes résultant de l'achat de biens et de prestations de services</t>
  </si>
  <si>
    <t>Dettes résultant de l'achat de biens et de prestations de services (créanciers)</t>
  </si>
  <si>
    <t>Acomptes reçus de tiers</t>
  </si>
  <si>
    <t>Dettes à court terme portant intérêt</t>
  </si>
  <si>
    <t>Compte courant</t>
  </si>
  <si>
    <t>Emprunts</t>
  </si>
  <si>
    <t>Dettes envers les sociétés de virement (WIR)</t>
  </si>
  <si>
    <t>Autres dettes à court terme</t>
  </si>
  <si>
    <t>TVA due (taxe sur les ventes)</t>
  </si>
  <si>
    <t>Compensation TVA due selon méthode de décompte</t>
  </si>
  <si>
    <t>Impôt sur les acquisitions</t>
  </si>
  <si>
    <t>Compte courant impôt</t>
  </si>
  <si>
    <t>Dettes AVS/AI/APG/AC</t>
  </si>
  <si>
    <t>Compte courant institution de prévoyance</t>
  </si>
  <si>
    <t>Compte courant AVS, AI, APG, AC</t>
  </si>
  <si>
    <t>Compte courant CAF/CA</t>
  </si>
  <si>
    <t>Passifs de régularisation et provisions à court terme</t>
  </si>
  <si>
    <t>Charges à payer (TP)</t>
  </si>
  <si>
    <t>Produits encaissés d’avance (TP)</t>
  </si>
  <si>
    <t>Autres provisions à court terme</t>
  </si>
  <si>
    <t>Capitaux étrangers à long terme</t>
  </si>
  <si>
    <t>Dettes à long terme portant intérêt</t>
  </si>
  <si>
    <t>Dettes envers l'administration fiscale (IS)</t>
  </si>
  <si>
    <t>Dettes sociales</t>
  </si>
  <si>
    <t>URSSAF - Dettes sociales</t>
  </si>
  <si>
    <t>Cre Humanis - Dettes sociale</t>
  </si>
  <si>
    <t>Autres dettes à long terme</t>
  </si>
  <si>
    <t>Dettes envers des tiers</t>
  </si>
  <si>
    <t>Provisions et postes analogues prévus par la loi</t>
  </si>
  <si>
    <t>Provisions pour travaux de garantie</t>
  </si>
  <si>
    <t>Capitaux propres (personnes morales)</t>
  </si>
  <si>
    <t>Capital social ou capital de fondation</t>
  </si>
  <si>
    <t>Capital social, capital-actions, capital de fondation</t>
  </si>
  <si>
    <t>Réserves et bénéfice reporté ou perte reportée</t>
  </si>
  <si>
    <t>Réserves légales issues du bénéfice</t>
  </si>
  <si>
    <t>Réserves facultatives (supplémentaires ou statutaires)</t>
  </si>
  <si>
    <t>Bénéfices reportés ou pertes reportées</t>
  </si>
  <si>
    <t>Bénéfices ou pertes de l'exercice</t>
  </si>
  <si>
    <t>Produits nets des ventes de biens et de prestations de services</t>
  </si>
  <si>
    <t>Produits des ventes de marchandises</t>
  </si>
  <si>
    <t>Ventes de marchandises au comptant</t>
  </si>
  <si>
    <t>Ventes de marchandises à crédit</t>
  </si>
  <si>
    <t>Ventes de prestations annexes (port et emballage)</t>
  </si>
  <si>
    <t>Variation des créances/débiteurs</t>
  </si>
  <si>
    <t>Réductions sur les ventes</t>
  </si>
  <si>
    <t>Produits des prestations</t>
  </si>
  <si>
    <t>Ventes de prestations au comptant</t>
  </si>
  <si>
    <t>Ventes de prestations à crédit</t>
  </si>
  <si>
    <t>Prestations de services</t>
  </si>
  <si>
    <t>Ventes de prestations annexes d'exploitation</t>
  </si>
  <si>
    <t>Autres produits résultant de ventes de biens et de prestations de services</t>
  </si>
  <si>
    <t>Produits annexes résultant de ventes de biens et de prestations de services</t>
  </si>
  <si>
    <t>Ventes de déchets</t>
  </si>
  <si>
    <t>Ventes de prestations annexes</t>
  </si>
  <si>
    <t>Autres produits</t>
  </si>
  <si>
    <t>Déductions sur les ventes</t>
  </si>
  <si>
    <t>Escomptes</t>
  </si>
  <si>
    <t>Rabais et réductions de prix</t>
  </si>
  <si>
    <t>Remises</t>
  </si>
  <si>
    <t>Provisions sur la vente</t>
  </si>
  <si>
    <t>Frais d'encaissement</t>
  </si>
  <si>
    <t>Pertes sur clients, variation du ducroire</t>
  </si>
  <si>
    <t>Différences de taux de change</t>
  </si>
  <si>
    <t>TVA Taux de la dette fiscale nette</t>
  </si>
  <si>
    <t>Charges de matériel, biens marchands, prestations et énergie</t>
  </si>
  <si>
    <t>Achat de marchandises commerciales</t>
  </si>
  <si>
    <t>Achats de marchandises</t>
  </si>
  <si>
    <t>Matériel de bureau</t>
  </si>
  <si>
    <t>Charges directes d'achat sur marchandises</t>
  </si>
  <si>
    <t>Frets à l'achat</t>
  </si>
  <si>
    <t>Charge pour prestations acquises</t>
  </si>
  <si>
    <t>Charge pour prestations acquises (secteur A)</t>
  </si>
  <si>
    <t>Charges pour prestations de services</t>
  </si>
  <si>
    <t>Gain de change</t>
  </si>
  <si>
    <t>Charges directes d'achat</t>
  </si>
  <si>
    <t>Déductions obtenues sur achats</t>
  </si>
  <si>
    <t>Charges directes d'achat pour prestations acquises</t>
  </si>
  <si>
    <t>Charges directes d'achat sur prestations de tiers</t>
  </si>
  <si>
    <t>Autres charges de matériel, biens marchands et prestations</t>
  </si>
  <si>
    <t>Autres achats de marchandises commerciales</t>
  </si>
  <si>
    <t>Autres charges de marchandises</t>
  </si>
  <si>
    <t>Autres charges de prestations</t>
  </si>
  <si>
    <t>Autres charges de prestations de tiers</t>
  </si>
  <si>
    <t>Variation des stocks et perte de matériel/marchandises</t>
  </si>
  <si>
    <t>Variation de stocks matériel et marchandises</t>
  </si>
  <si>
    <t>Variation de stocks marchandises</t>
  </si>
  <si>
    <t>Commissions d’achats</t>
  </si>
  <si>
    <t>Charges de personnel</t>
  </si>
  <si>
    <t>Charges salariales - Personnel du fournisseur exécutant les mandats techniques</t>
  </si>
  <si>
    <t>Salaires, personnel du fournisseur exécutant les mandats technique</t>
  </si>
  <si>
    <t>Indemnités</t>
  </si>
  <si>
    <t>Participations aux bénéfices</t>
  </si>
  <si>
    <t>Commissions</t>
  </si>
  <si>
    <t>Primes- Personnel du fournisseur exécutant les mandats techniques</t>
  </si>
  <si>
    <t>Prestations des assurances sociales</t>
  </si>
  <si>
    <t>Autres charges de personnel</t>
  </si>
  <si>
    <t>Salaire Marion</t>
  </si>
  <si>
    <t>Provision vacances collaborateurs</t>
  </si>
  <si>
    <t>Provision vacances collaborateurs (Admin)</t>
  </si>
  <si>
    <t>Charges salariales - Office manager du fournisseur</t>
  </si>
  <si>
    <t>Primes - Office manager du fournisseur</t>
  </si>
  <si>
    <t>Salaires, office manager du fournisseur</t>
  </si>
  <si>
    <t>Charges salariales , personnel informatique</t>
  </si>
  <si>
    <t>Salaires, personnel informatique</t>
  </si>
  <si>
    <t>Prime personnel informatique</t>
  </si>
  <si>
    <t>Charges salariales -  Personnel dirigeant du fournisseur</t>
  </si>
  <si>
    <t>Salaires, personnel dirigeant du fournisseur</t>
  </si>
  <si>
    <t>Prime personnel dirigeant du fournisseur</t>
  </si>
  <si>
    <t>Charges salariales- Dirigeant FR</t>
  </si>
  <si>
    <t>Salaires, personnel dirigeant FR</t>
  </si>
  <si>
    <t>Prime  Dirigeant FR</t>
  </si>
  <si>
    <t>Cotisations employeur</t>
  </si>
  <si>
    <t>Cotisations employeur (assurances sociales)</t>
  </si>
  <si>
    <t>Charges sociales - Personnel dirigeant du fournisseur</t>
  </si>
  <si>
    <t>AVS, AI, APG, AC - Personnel dirigeant du fournisseur</t>
  </si>
  <si>
    <t>Cotisations LPP- Personnel dirigeant du fournisseur</t>
  </si>
  <si>
    <t>Cotisations LAA - Personnel dirigeant du fournisseur</t>
  </si>
  <si>
    <t>Cotisations IJM - Personnel dirigeant du fournisseur</t>
  </si>
  <si>
    <t>Impôt à la source - Personnel dirigeant du fournisseur</t>
  </si>
  <si>
    <t>Charges sociales - Personnel du fournisseur exécutant les mandats techniques</t>
  </si>
  <si>
    <t>AVS, AI, APG, AC - Personnel du fournisseur exécutant les mandats technique</t>
  </si>
  <si>
    <t>Cotisation LPP - Personnel du fournisseur exécutant les mandats technique</t>
  </si>
  <si>
    <t>Cotisation LAA - Personnel du fournisseur exécutant les mandats technique</t>
  </si>
  <si>
    <t>Cotisation IJM - Personnel du fournisseur exécutant les mandats techniques</t>
  </si>
  <si>
    <t>Impôt à la source - Personnel du fournisseur exécutant les mandats techniques</t>
  </si>
  <si>
    <t>Charges sociales - Office manager du fournisseur</t>
  </si>
  <si>
    <t>AVS, AI, APG, AC - Office manager du fournisseur</t>
  </si>
  <si>
    <t>Cotisation CAF</t>
  </si>
  <si>
    <t>Cotisation CA</t>
  </si>
  <si>
    <t>Cotisations LPP - Office manager du fournisseur</t>
  </si>
  <si>
    <t>Cotisations LAA - Office manager du fournisseur</t>
  </si>
  <si>
    <t>Cotisations IJM - Office manager du fournisseur</t>
  </si>
  <si>
    <t>Impôt à la source - Office manager du fournisseur</t>
  </si>
  <si>
    <t>Compensation part privée</t>
  </si>
  <si>
    <t>Déduction part privée</t>
  </si>
  <si>
    <t>Recrutement</t>
  </si>
  <si>
    <t>Recherche de personnel</t>
  </si>
  <si>
    <t>Commissions pour recherche de personnel</t>
  </si>
  <si>
    <t>Formation et perfectionnement continus</t>
  </si>
  <si>
    <t>Formation continue</t>
  </si>
  <si>
    <t>Indemnités effectives</t>
  </si>
  <si>
    <t>Frais de voyage</t>
  </si>
  <si>
    <t>Frais de repas</t>
  </si>
  <si>
    <t>Frais de logement</t>
  </si>
  <si>
    <t>Indemnités forfaitaires</t>
  </si>
  <si>
    <t>Autres frais de personnel</t>
  </si>
  <si>
    <t>Charges de personnel comme prélèvements à titre privé</t>
  </si>
  <si>
    <t>Charges sociales - personnel informatique</t>
  </si>
  <si>
    <t>AVS, AI, APG, AC - personnel informatique</t>
  </si>
  <si>
    <t>Cotisations LPP- Personnel informatique</t>
  </si>
  <si>
    <t>Cotisations LAA - Personnel informatique</t>
  </si>
  <si>
    <t>Cotisations IJM - Personnel informatique</t>
  </si>
  <si>
    <t>Autres charges d’exploitation, amortissements, ajustements, résultat financier</t>
  </si>
  <si>
    <t>Charges de locaux</t>
  </si>
  <si>
    <t>Loyers pour locaux de tiers</t>
  </si>
  <si>
    <t>Loyer</t>
  </si>
  <si>
    <t>Loyer du parking</t>
  </si>
  <si>
    <t>Loyers pour locaux propres</t>
  </si>
  <si>
    <t>Loyer pour locaux</t>
  </si>
  <si>
    <t>Coûts supplémentaires</t>
  </si>
  <si>
    <t>Frais accessoires des locaux</t>
  </si>
  <si>
    <t>Nettoyage</t>
  </si>
  <si>
    <t>Nettoyage des locaux</t>
  </si>
  <si>
    <t>Entretien des locaux commerciaux</t>
  </si>
  <si>
    <t>Entretien des locaux</t>
  </si>
  <si>
    <t>Charges pour locaux comme prélèvements à titre privé</t>
  </si>
  <si>
    <t>Entretien, réparations, remplacements (ERR)</t>
  </si>
  <si>
    <t>ERR machines et appareils du production</t>
  </si>
  <si>
    <t>ERR mobilier et installations</t>
  </si>
  <si>
    <t>ERR mobilier de bureau</t>
  </si>
  <si>
    <t>Charges de véhicules et de transport</t>
  </si>
  <si>
    <t>Charges de véhicules</t>
  </si>
  <si>
    <t>Réparations, service, nettoyage</t>
  </si>
  <si>
    <t>Carburants</t>
  </si>
  <si>
    <t>Assurances</t>
  </si>
  <si>
    <t>Droits, taxes, autorisations</t>
  </si>
  <si>
    <t>Véhicules en leasing</t>
  </si>
  <si>
    <t>Location de véhicules</t>
  </si>
  <si>
    <t>Charges de véhicules comme prélèvements à titre privé</t>
  </si>
  <si>
    <t>Charges de transport</t>
  </si>
  <si>
    <t>Frets</t>
  </si>
  <si>
    <t>Assurances-choses, droits, taxes, autorisations</t>
  </si>
  <si>
    <t>Assurance-choses</t>
  </si>
  <si>
    <t>Charges d'énergie et évacuation des déchets</t>
  </si>
  <si>
    <t>Charges d'énergie</t>
  </si>
  <si>
    <t>Electricité, gaz, huile de chauffage, eau</t>
  </si>
  <si>
    <t>Charges évacuation des déchets</t>
  </si>
  <si>
    <t>Evacuation des déchets et déchets spéciaux</t>
  </si>
  <si>
    <t>Charges d'administration et d'informatique</t>
  </si>
  <si>
    <t>Charges d'administration</t>
  </si>
  <si>
    <t>Littérature technique, journaux, magazines</t>
  </si>
  <si>
    <t>Téléphone</t>
  </si>
  <si>
    <t>Internet</t>
  </si>
  <si>
    <t>Ports</t>
  </si>
  <si>
    <t>Cotisations</t>
  </si>
  <si>
    <t>Frais de tenue de la comptabilité</t>
  </si>
  <si>
    <t>Frais de recouvrement</t>
  </si>
  <si>
    <t>Autres charges d’administration</t>
  </si>
  <si>
    <t>Charges d'informatique</t>
  </si>
  <si>
    <t>Leasing et location d’équipements et de logiciels</t>
  </si>
  <si>
    <t>Charges publicitaires</t>
  </si>
  <si>
    <t>Publicité, médias électroniques</t>
  </si>
  <si>
    <t>Annonces publicitaires</t>
  </si>
  <si>
    <t>Imprimés publicitaires, matériel publicitaire, articles publicitaires, échantillons</t>
  </si>
  <si>
    <t>Imprimés et matériel publicitaires</t>
  </si>
  <si>
    <t>Vitrines, décoration, foires, expositions</t>
  </si>
  <si>
    <t>Vitrines, décoration</t>
  </si>
  <si>
    <t>Foires, expositions</t>
  </si>
  <si>
    <t>Frais de voyage, suivi de la clientèle</t>
  </si>
  <si>
    <t>Publicité, sponsoring</t>
  </si>
  <si>
    <t>Relations publiques</t>
  </si>
  <si>
    <t>Prestations en faveur de la clientèle</t>
  </si>
  <si>
    <t>Autres charges d’exploitation</t>
  </si>
  <si>
    <t>Informations économiques, poursuites</t>
  </si>
  <si>
    <t>Amortissement et corrections de valeur des postes sur immobilisations corporelles</t>
  </si>
  <si>
    <t>Amortissements et ajustements de la valeur sur actifs meubles</t>
  </si>
  <si>
    <t>Amortissement et ajustement de valeur sur machines et appareils</t>
  </si>
  <si>
    <t>Amortissement et ajustement de valeur sur mobilier et installations</t>
  </si>
  <si>
    <t>Amortissement et ajustement de valeur sur véhicules</t>
  </si>
  <si>
    <t>Amortissement et ajustement de valeur sur outillage et équipements</t>
  </si>
  <si>
    <t>Avantage/Inconvénient Taux de la dette fiscale nette</t>
  </si>
  <si>
    <t>Charges et produits financiers</t>
  </si>
  <si>
    <t>Charges financières</t>
  </si>
  <si>
    <t>Charges financières pour crédit bancaire</t>
  </si>
  <si>
    <t>Charges financières pour emprunts</t>
  </si>
  <si>
    <t>Frais bancaires</t>
  </si>
  <si>
    <t>Différence d'arrondi clients/fournisseurs</t>
  </si>
  <si>
    <t>Pertes de change</t>
  </si>
  <si>
    <t>Produits financiers</t>
  </si>
  <si>
    <t>Produits financiers sur avoirs bancaires</t>
  </si>
  <si>
    <t>Produits d'intérêts moratoires et d'escompte</t>
  </si>
  <si>
    <t>Bénéfices de change</t>
  </si>
  <si>
    <t>Résultat des activités hors exploitation</t>
  </si>
  <si>
    <t>Produits accessoires et charges accessoires</t>
  </si>
  <si>
    <t>Produits accessoires A</t>
  </si>
  <si>
    <t>Produits bruts</t>
  </si>
  <si>
    <t>Résultats exceptionnels et hors exploitation</t>
  </si>
  <si>
    <t>Résultats hors exploitation</t>
  </si>
  <si>
    <t>Charges hors exploitation</t>
  </si>
  <si>
    <t>Produits hors exploitation</t>
  </si>
  <si>
    <t>Charges et produits exceptionnels, uniques ou hors période</t>
  </si>
  <si>
    <t>Charges et produits exceptionnels</t>
  </si>
  <si>
    <t>Dotations exceptionnelles aux réserves</t>
  </si>
  <si>
    <t>Office Manager-Charge liée au parking</t>
  </si>
  <si>
    <t>IT-Charge liée au parking</t>
  </si>
  <si>
    <t>Charges et produits uniques</t>
  </si>
  <si>
    <t>Charges uniques</t>
  </si>
  <si>
    <t>Produits uniques</t>
  </si>
  <si>
    <t>Charges et produits hors période</t>
  </si>
  <si>
    <t>Autres charges hors période</t>
  </si>
  <si>
    <t>Autres produits hors période</t>
  </si>
  <si>
    <t>Impôts directs</t>
  </si>
  <si>
    <t>Impôts cantonaux et communaux</t>
  </si>
  <si>
    <t>Impôts fédéraux directs</t>
  </si>
  <si>
    <t>Impôt anticipé</t>
  </si>
  <si>
    <t>Clôture</t>
  </si>
  <si>
    <t>Compte de résultat</t>
  </si>
  <si>
    <t>Bilan d'ouverture</t>
  </si>
  <si>
    <t>Bilan de clôture</t>
  </si>
  <si>
    <t>Transfert de solde</t>
  </si>
  <si>
    <t>Affectation des bénéfices</t>
  </si>
  <si>
    <t>Comptes auxiliaires Grands livres auxiliaires</t>
  </si>
  <si>
    <t>Corrections</t>
  </si>
  <si>
    <t>Sébastien</t>
  </si>
  <si>
    <t>Solal</t>
  </si>
  <si>
    <t>Marion</t>
  </si>
  <si>
    <t>Rony</t>
  </si>
  <si>
    <t>Dinah</t>
  </si>
  <si>
    <t>Eve</t>
  </si>
  <si>
    <t>Cédric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</si>
  <si>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</si>
  <si>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</si>
  <si>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</si>
  <si>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</si>
  <si>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</si>
  <si>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</si>
  <si>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</si>
  <si>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</si>
  <si>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</si>
  <si>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</si>
  <si>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</si>
  <si>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</si>
  <si>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Charge salaire</t>
  </si>
  <si>
    <t>charge salaire brut</t>
  </si>
  <si>
    <t>dirigeant</t>
  </si>
  <si>
    <t>office</t>
  </si>
  <si>
    <t>technique</t>
  </si>
  <si>
    <t>informatique</t>
  </si>
  <si>
    <t>prime</t>
  </si>
  <si>
    <t>Janvier</t>
  </si>
  <si>
    <t>AVS</t>
  </si>
  <si>
    <t>AC</t>
  </si>
  <si>
    <t>TOTAL</t>
  </si>
  <si>
    <t>Compte</t>
  </si>
  <si>
    <t>Salaire janvier</t>
  </si>
  <si>
    <t>LPP janvier</t>
  </si>
  <si>
    <t>Contrôle</t>
  </si>
  <si>
    <t>Totaux</t>
  </si>
  <si>
    <t>Centres</t>
  </si>
  <si>
    <t>janvier</t>
  </si>
  <si>
    <t>LPP</t>
  </si>
  <si>
    <t>Primes</t>
  </si>
  <si>
    <t>AVS janvier</t>
  </si>
  <si>
    <t>cumulé AC</t>
  </si>
  <si>
    <t>cumulé AVS</t>
  </si>
  <si>
    <t>Total</t>
  </si>
  <si>
    <t>IJM</t>
  </si>
  <si>
    <t>LAA</t>
  </si>
  <si>
    <t>dirigeant FR</t>
  </si>
  <si>
    <t>AANP + LAA</t>
  </si>
  <si>
    <t>bruts</t>
  </si>
  <si>
    <t>primes</t>
  </si>
  <si>
    <t>Accident janvier</t>
  </si>
  <si>
    <t>IJM janvier</t>
  </si>
  <si>
    <t>Cotisations janvier</t>
  </si>
  <si>
    <t>IS brut</t>
  </si>
  <si>
    <t>Canton</t>
  </si>
  <si>
    <t>Genève</t>
  </si>
  <si>
    <t>Vaud</t>
  </si>
  <si>
    <t>IS net</t>
  </si>
  <si>
    <t>Com</t>
  </si>
  <si>
    <t>Décompte Impôt Source 2024</t>
  </si>
  <si>
    <t>com</t>
  </si>
  <si>
    <t>Net</t>
  </si>
  <si>
    <t>ne pas toucher</t>
  </si>
  <si>
    <t>Créances à court terme envers le personnel</t>
  </si>
  <si>
    <t>Avances sur salaires</t>
  </si>
  <si>
    <t>Salaires à payer</t>
  </si>
  <si>
    <t>Commissions sur impôt à la source perçues</t>
  </si>
  <si>
    <t>Charges sociales - Personnel dirigeant du fournisseur FR</t>
  </si>
  <si>
    <t>AVS, AI, APG, AC - Personnel dirigeant du fournisseur FR</t>
  </si>
  <si>
    <t>Cotisation URSSAF-Personnel dirigeant du fournisseur FR</t>
  </si>
  <si>
    <t>Cotisation Cre (HUMANIS)-Personnel dirigeant du fournisseur FR</t>
  </si>
  <si>
    <t>Cotisations LPP- Personnel dirigeant du fournisseur FR</t>
  </si>
  <si>
    <t>Cotisation IJM-Personnel dirigeant du fournisseur FR</t>
  </si>
  <si>
    <t>Cotisation LAA-Personnel dirigeant du fournisseur FR</t>
  </si>
  <si>
    <t>Salaires janvier</t>
  </si>
  <si>
    <t>AVS/AI/APG/AMAT GE/AC EMPLOYEUR</t>
  </si>
  <si>
    <t>AVS/AI/APG/AMAT GE/AC EMPLOYE</t>
  </si>
  <si>
    <t>Autres produits financiers</t>
  </si>
  <si>
    <t>Déduction parking</t>
  </si>
  <si>
    <t>salaire Personnel dirigeant</t>
  </si>
  <si>
    <t>Déduction ch.soc.françaises</t>
  </si>
  <si>
    <t>février</t>
  </si>
  <si>
    <t>totaux</t>
  </si>
  <si>
    <t>différence</t>
  </si>
  <si>
    <t>mars</t>
  </si>
  <si>
    <t>avril</t>
  </si>
  <si>
    <t>mai</t>
  </si>
  <si>
    <t>juin</t>
  </si>
  <si>
    <t>juillet</t>
  </si>
  <si>
    <t>août</t>
  </si>
  <si>
    <t>septembre</t>
  </si>
  <si>
    <t>Salaire septembre</t>
  </si>
  <si>
    <t>AVS septembre</t>
  </si>
  <si>
    <t>Accident septembre</t>
  </si>
  <si>
    <t>IJM septembre</t>
  </si>
  <si>
    <t>LPP septembre</t>
  </si>
  <si>
    <t>Cotisations septembre</t>
  </si>
  <si>
    <t>Salaires septembre</t>
  </si>
  <si>
    <t>Salaire août</t>
  </si>
  <si>
    <t>AVS août</t>
  </si>
  <si>
    <t>Accident août</t>
  </si>
  <si>
    <t>IJM août</t>
  </si>
  <si>
    <t>LPP août</t>
  </si>
  <si>
    <t>Cotisations août</t>
  </si>
  <si>
    <t>Salaires août</t>
  </si>
  <si>
    <t>Salaire juillet</t>
  </si>
  <si>
    <t>AVS juillet</t>
  </si>
  <si>
    <t>Accident juillet</t>
  </si>
  <si>
    <t>IJM juillet</t>
  </si>
  <si>
    <t>LPP juillet</t>
  </si>
  <si>
    <t>Cotisations juillet</t>
  </si>
  <si>
    <t>Salaires juillet</t>
  </si>
  <si>
    <t>Salaire juin</t>
  </si>
  <si>
    <t>AVS juin</t>
  </si>
  <si>
    <t>Accident juin</t>
  </si>
  <si>
    <t>IJM juin</t>
  </si>
  <si>
    <t>LPP juin</t>
  </si>
  <si>
    <t>Cotisations juin</t>
  </si>
  <si>
    <t>Salaires juin</t>
  </si>
  <si>
    <t>Salaire mai</t>
  </si>
  <si>
    <t>AVS mai</t>
  </si>
  <si>
    <t>Accident mai</t>
  </si>
  <si>
    <t>IJM mai</t>
  </si>
  <si>
    <t>LPP mai</t>
  </si>
  <si>
    <t>Cotisations mai</t>
  </si>
  <si>
    <t>Salaires mai</t>
  </si>
  <si>
    <t>Salaire avril</t>
  </si>
  <si>
    <t>AVS avril</t>
  </si>
  <si>
    <t>Accident avril</t>
  </si>
  <si>
    <t>IJM avril</t>
  </si>
  <si>
    <t>LPP avril</t>
  </si>
  <si>
    <t>Cotisations avril</t>
  </si>
  <si>
    <t>Salaires avril</t>
  </si>
  <si>
    <t>Salaire mars</t>
  </si>
  <si>
    <t>AVS mars</t>
  </si>
  <si>
    <t>Accident mars</t>
  </si>
  <si>
    <t>IJM mars</t>
  </si>
  <si>
    <t>LPP mars</t>
  </si>
  <si>
    <t>Cotisations mars</t>
  </si>
  <si>
    <t>Salaires mars</t>
  </si>
  <si>
    <t>Salaire février</t>
  </si>
  <si>
    <t>AVS février</t>
  </si>
  <si>
    <t>Accident février</t>
  </si>
  <si>
    <t>IJM février</t>
  </si>
  <si>
    <t>LPP février</t>
  </si>
  <si>
    <t>Cotisations février</t>
  </si>
  <si>
    <t>Salaires février</t>
  </si>
  <si>
    <t>net à payer</t>
  </si>
  <si>
    <t>octobre</t>
  </si>
  <si>
    <t>Salaire octobre</t>
  </si>
  <si>
    <t>AVS octobre</t>
  </si>
  <si>
    <t>Accident octobre</t>
  </si>
  <si>
    <t>IJM octobre</t>
  </si>
  <si>
    <t>LPP octobre</t>
  </si>
  <si>
    <t>Cotisations octobre</t>
  </si>
  <si>
    <t>Salaires octobre</t>
  </si>
  <si>
    <t>novembre</t>
  </si>
  <si>
    <t>Salaire novembre</t>
  </si>
  <si>
    <t>AVS novembre</t>
  </si>
  <si>
    <t>Accident novembre</t>
  </si>
  <si>
    <t>IJM novembre</t>
  </si>
  <si>
    <t>LPP novembre</t>
  </si>
  <si>
    <t>Cotisations novembre</t>
  </si>
  <si>
    <t>Salaires novembre</t>
  </si>
  <si>
    <t>décembre</t>
  </si>
  <si>
    <t>Salaire décembre</t>
  </si>
  <si>
    <t>AVS décembre</t>
  </si>
  <si>
    <t>Accident décembre</t>
  </si>
  <si>
    <t>IJM décembre</t>
  </si>
  <si>
    <t>LPP décembre</t>
  </si>
  <si>
    <t>Cotisations décembre</t>
  </si>
  <si>
    <t>Salaires décembre</t>
  </si>
  <si>
    <t>Hugo</t>
  </si>
  <si>
    <t>Employé 1</t>
  </si>
  <si>
    <t>Employé 2</t>
  </si>
  <si>
    <t>Employé 3</t>
  </si>
  <si>
    <t>Employé 4</t>
  </si>
  <si>
    <t xml:space="preserve">Rony </t>
  </si>
  <si>
    <t>2025</t>
  </si>
  <si>
    <t>Prime 2024</t>
  </si>
  <si>
    <t>Yanis</t>
  </si>
  <si>
    <t xml:space="preserve">Yanis </t>
  </si>
  <si>
    <t>Guillaume</t>
  </si>
  <si>
    <t xml:space="preserve">cumulé </t>
  </si>
  <si>
    <t>Luis</t>
  </si>
  <si>
    <t>Yamine</t>
  </si>
  <si>
    <t xml:space="preserve">     </t>
  </si>
  <si>
    <t>Fanny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</si>
</sst>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yy"/>
    <numFmt numFmtId="165" formatCode="#,##0.00;[Red]#,##0.00"/>
    <numFmt numFmtId="166" formatCode="_-* #,##0.00\ [$CHF-100C]_-;\-* #,##0.00\ [$CHF-100C]_-;_-* &quot;-&quot;??\ [$CHF-100C]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Sans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Aptos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A721D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A721D1"/>
      <name val="Calibri"/>
      <family val="2"/>
      <scheme val="minor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68"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/>
    <xf numFmtId="4" fontId="3" fillId="0" borderId="0" xfId="0" applyNumberFormat="1" applyFont="1"/>
    <xf numFmtId="4" fontId="3" fillId="0" borderId="2" xfId="0" applyNumberFormat="1" applyFont="1" applyBorder="1"/>
    <xf numFmtId="4" fontId="3" fillId="0" borderId="3" xfId="0" applyNumberFormat="1" applyFont="1" applyBorder="1"/>
    <xf numFmtId="0" fontId="7" fillId="0" borderId="0" xfId="0" applyFont="1" applyAlignment="1">
      <alignment horizontal="left"/>
    </xf>
    <xf numFmtId="4" fontId="8" fillId="0" borderId="1" xfId="0" applyNumberFormat="1" applyFont="1" applyBorder="1"/>
    <xf numFmtId="4" fontId="8" fillId="0" borderId="0" xfId="0" applyNumberFormat="1" applyFont="1"/>
    <xf numFmtId="0" fontId="1" fillId="0" borderId="0" xfId="0" applyFont="1"/>
    <xf numFmtId="0" fontId="10" fillId="0" borderId="0" xfId="1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" fontId="17" fillId="0" borderId="0" xfId="0" applyNumberFormat="1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0" xfId="0" applyAlignment="1">
      <alignment horizontal="right"/>
    </xf>
    <xf numFmtId="4" fontId="0" fillId="0" borderId="0" xfId="0" applyNumberFormat="1"/>
    <xf numFmtId="4" fontId="0" fillId="0" borderId="6" xfId="0" applyNumberFormat="1" applyBorder="1"/>
    <xf numFmtId="0" fontId="0" fillId="0" borderId="6" xfId="0" applyBorder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0" fillId="13" borderId="6" xfId="0" applyFill="1" applyBorder="1"/>
    <xf numFmtId="0" fontId="0" fillId="14" borderId="6" xfId="0" applyFill="1" applyBorder="1"/>
    <xf numFmtId="166" fontId="0" fillId="0" borderId="21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166" fontId="0" fillId="0" borderId="25" xfId="0" applyNumberFormat="1" applyBorder="1"/>
    <xf numFmtId="166" fontId="20" fillId="0" borderId="0" xfId="0" applyNumberFormat="1" applyFont="1"/>
    <xf numFmtId="0" fontId="2" fillId="0" borderId="0" xfId="0" applyFont="1"/>
    <xf numFmtId="165" fontId="0" fillId="0" borderId="0" xfId="0" applyNumberFormat="1"/>
    <xf numFmtId="165" fontId="2" fillId="11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0" fillId="11" borderId="0" xfId="0" applyFill="1"/>
    <xf numFmtId="0" fontId="0" fillId="0" borderId="26" xfId="0" applyBorder="1"/>
    <xf numFmtId="0" fontId="2" fillId="0" borderId="6" xfId="0" applyFont="1" applyBorder="1"/>
    <xf numFmtId="0" fontId="2" fillId="12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1" xfId="0" applyBorder="1"/>
    <xf numFmtId="0" fontId="14" fillId="0" borderId="0" xfId="0" applyFont="1" applyAlignment="1">
      <alignment horizontal="center"/>
    </xf>
    <xf numFmtId="0" fontId="2" fillId="6" borderId="6" xfId="0" applyFont="1" applyFill="1" applyBorder="1" applyAlignment="1">
      <alignment horizontal="center"/>
    </xf>
    <xf numFmtId="164" fontId="14" fillId="6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4" fontId="2" fillId="0" borderId="6" xfId="0" applyNumberFormat="1" applyFont="1" applyBorder="1"/>
    <xf numFmtId="4" fontId="2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4" fontId="16" fillId="0" borderId="6" xfId="0" applyNumberFormat="1" applyFont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166" fontId="0" fillId="0" borderId="6" xfId="0" applyNumberFormat="1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2" fillId="0" borderId="22" xfId="0" applyNumberFormat="1" applyFont="1" applyBorder="1"/>
    <xf numFmtId="166" fontId="2" fillId="0" borderId="25" xfId="0" applyNumberFormat="1" applyFont="1" applyBorder="1"/>
    <xf numFmtId="0" fontId="0" fillId="0" borderId="20" xfId="0" applyBorder="1"/>
    <xf numFmtId="0" fontId="0" fillId="0" borderId="29" xfId="0" applyBorder="1"/>
    <xf numFmtId="0" fontId="20" fillId="0" borderId="23" xfId="0" applyFont="1" applyBorder="1"/>
    <xf numFmtId="166" fontId="20" fillId="0" borderId="24" xfId="0" applyNumberFormat="1" applyFont="1" applyBorder="1"/>
    <xf numFmtId="166" fontId="20" fillId="0" borderId="30" xfId="0" applyNumberFormat="1" applyFont="1" applyBorder="1"/>
    <xf numFmtId="166" fontId="2" fillId="0" borderId="31" xfId="0" applyNumberFormat="1" applyFont="1" applyBorder="1"/>
    <xf numFmtId="166" fontId="2" fillId="0" borderId="32" xfId="0" applyNumberFormat="1" applyFont="1" applyBorder="1"/>
    <xf numFmtId="166" fontId="20" fillId="0" borderId="33" xfId="0" applyNumberFormat="1" applyFont="1" applyBorder="1"/>
    <xf numFmtId="0" fontId="0" fillId="13" borderId="21" xfId="0" applyFill="1" applyBorder="1"/>
    <xf numFmtId="0" fontId="0" fillId="14" borderId="24" xfId="0" applyFill="1" applyBorder="1"/>
    <xf numFmtId="0" fontId="2" fillId="0" borderId="0" xfId="0" applyFont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4" fontId="2" fillId="0" borderId="26" xfId="0" applyNumberFormat="1" applyFont="1" applyBorder="1"/>
    <xf numFmtId="0" fontId="2" fillId="0" borderId="34" xfId="0" applyFont="1" applyBorder="1"/>
    <xf numFmtId="0" fontId="2" fillId="0" borderId="35" xfId="0" applyFont="1" applyBorder="1"/>
    <xf numFmtId="0" fontId="0" fillId="16" borderId="2" xfId="0" applyFill="1" applyBorder="1"/>
    <xf numFmtId="0" fontId="0" fillId="16" borderId="10" xfId="0" applyFill="1" applyBorder="1"/>
    <xf numFmtId="0" fontId="2" fillId="17" borderId="6" xfId="0" applyFont="1" applyFill="1" applyBorder="1" applyAlignment="1">
      <alignment horizontal="center"/>
    </xf>
    <xf numFmtId="165" fontId="0" fillId="17" borderId="6" xfId="0" applyNumberFormat="1" applyFill="1" applyBorder="1" applyAlignment="1">
      <alignment horizontal="center" vertical="center"/>
    </xf>
    <xf numFmtId="165" fontId="2" fillId="17" borderId="6" xfId="0" applyNumberFormat="1" applyFont="1" applyFill="1" applyBorder="1" applyAlignment="1">
      <alignment horizontal="center" vertical="center"/>
    </xf>
    <xf numFmtId="49" fontId="4" fillId="18" borderId="0" xfId="0" applyNumberFormat="1" applyFont="1" applyFill="1" applyAlignment="1">
      <alignment horizontal="right"/>
    </xf>
    <xf numFmtId="4" fontId="3" fillId="18" borderId="0" xfId="0" applyNumberFormat="1" applyFont="1" applyFill="1"/>
    <xf numFmtId="4" fontId="0" fillId="18" borderId="0" xfId="0" applyNumberFormat="1" applyFill="1"/>
    <xf numFmtId="0" fontId="2" fillId="19" borderId="4" xfId="0" applyFont="1" applyFill="1" applyBorder="1" applyAlignment="1">
      <alignment horizontal="center" vertical="center"/>
    </xf>
    <xf numFmtId="0" fontId="11" fillId="19" borderId="6" xfId="0" applyFont="1" applyFill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4" fontId="15" fillId="20" borderId="6" xfId="0" applyNumberFormat="1" applyFont="1" applyFill="1" applyBorder="1" applyAlignment="1">
      <alignment horizontal="center" vertical="center"/>
    </xf>
    <xf numFmtId="165" fontId="0" fillId="20" borderId="6" xfId="0" applyNumberFormat="1" applyFill="1" applyBorder="1" applyAlignment="1">
      <alignment horizontal="center" vertical="center"/>
    </xf>
    <xf numFmtId="166" fontId="15" fillId="20" borderId="6" xfId="0" applyNumberFormat="1" applyFont="1" applyFill="1" applyBorder="1" applyAlignment="1">
      <alignment horizontal="center" vertical="center"/>
    </xf>
    <xf numFmtId="4" fontId="0" fillId="20" borderId="6" xfId="0" applyNumberFormat="1" applyFill="1" applyBorder="1" applyAlignment="1">
      <alignment horizontal="center"/>
    </xf>
    <xf numFmtId="166" fontId="20" fillId="0" borderId="25" xfId="0" applyNumberFormat="1" applyFont="1" applyBorder="1"/>
    <xf numFmtId="0" fontId="11" fillId="5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164" fontId="14" fillId="6" borderId="4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164" fontId="14" fillId="21" borderId="4" xfId="0" applyNumberFormat="1" applyFont="1" applyFill="1" applyBorder="1" applyAlignment="1">
      <alignment horizontal="center" vertical="center"/>
    </xf>
    <xf numFmtId="164" fontId="14" fillId="21" borderId="5" xfId="0" applyNumberFormat="1" applyFont="1" applyFill="1" applyBorder="1" applyAlignment="1">
      <alignment horizontal="center" vertical="center"/>
    </xf>
    <xf numFmtId="164" fontId="14" fillId="22" borderId="4" xfId="0" applyNumberFormat="1" applyFont="1" applyFill="1" applyBorder="1" applyAlignment="1">
      <alignment horizontal="center" vertical="center"/>
    </xf>
    <xf numFmtId="164" fontId="14" fillId="22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64" fontId="19" fillId="21" borderId="4" xfId="0" applyNumberFormat="1" applyFont="1" applyFill="1" applyBorder="1" applyAlignment="1">
      <alignment horizontal="center" vertical="center"/>
    </xf>
    <xf numFmtId="164" fontId="19" fillId="21" borderId="5" xfId="0" applyNumberFormat="1" applyFont="1" applyFill="1" applyBorder="1" applyAlignment="1">
      <alignment horizontal="center" vertical="center"/>
    </xf>
    <xf numFmtId="164" fontId="19" fillId="9" borderId="4" xfId="0" applyNumberFormat="1" applyFont="1" applyFill="1" applyBorder="1" applyAlignment="1">
      <alignment horizontal="center" vertical="center"/>
    </xf>
    <xf numFmtId="164" fontId="19" fillId="9" borderId="5" xfId="0" applyNumberFormat="1" applyFont="1" applyFill="1" applyBorder="1" applyAlignment="1">
      <alignment horizontal="center" vertical="center"/>
    </xf>
    <xf numFmtId="164" fontId="14" fillId="9" borderId="4" xfId="0" applyNumberFormat="1" applyFont="1" applyFill="1" applyBorder="1" applyAlignment="1">
      <alignment horizontal="center" vertical="center"/>
    </xf>
    <xf numFmtId="164" fontId="14" fillId="9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Normal 2" xfId="1" xr:uid="{428C6089-A815-4323-A157-65ECBFFCCC3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0B1EC0-FB47-4009-B6A2-FA8BF9F1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F66366-CE36-44E2-B78F-2846120B1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0E318C-04F5-4235-AB3B-8FDCFCBF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7D8C4F-4677-47D0-94EE-006AC6C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146FE5-E76D-410A-8412-C13206D5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3D8F60-F6B0-42C9-87F0-F9D0764B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503481-960A-4771-A065-BC248647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4D8027-99C6-4B4A-8847-53926365C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704AE1-90D7-4712-9FC1-3D8BC8111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8A2C6D-FA68-44D0-B6E6-F856B6553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733B0D-AF6F-4CA5-8ACA-4D520DE39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2371725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540F1D-7CA1-406E-965B-B63300404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E841-4588-4E4B-B650-B1E7F1C2DA67}">
  <sheetPr>
    <pageSetUpPr fitToPage="1"/>
  </sheetPr>
  <dimension ref="A5:H59"/>
  <sheetViews>
    <sheetView topLeftCell="A25" zoomScale="85" zoomScaleNormal="85" workbookViewId="0">
      <selection activeCell="H29" sqref="H29"/>
    </sheetView>
  </sheetViews>
  <sheetFormatPr baseColWidth="10" defaultRowHeight="15"/>
  <cols>
    <col min="1" max="1" width="10.7109375" customWidth="1"/>
    <col min="2" max="2" width="61.7109375" customWidth="1"/>
    <col min="3" max="3" width="28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361</v>
      </c>
      <c r="D6" s="3" t="s">
        <v>502</v>
      </c>
      <c r="E6" s="1"/>
      <c r="G6" s="109">
        <f>MONTH(C6&amp;1)</f>
        <v>1</v>
      </c>
      <c r="H6" s="110">
        <f>+G6+1</f>
        <v>2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356</v>
      </c>
      <c r="D10" s="7">
        <f ca="1">VLOOKUP(A10,'Salaires bruts'!$C$19:$P$25,$H$6,FALSE)</f>
        <v>11392.05</v>
      </c>
      <c r="E10" s="8"/>
      <c r="G10" t="s">
        <v>372</v>
      </c>
      <c r="H10" s="40">
        <f ca="1">SUM(D10:D14)</f>
        <v>56266.7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356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bruts'!C25:O25,'Janv 2025'!$H$6,FALSE)</f>
        <v>56266.7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356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356</v>
      </c>
      <c r="D13" s="7">
        <f ca="1">VLOOKUP(A13,'Salaires bruts'!$C$19:$P$25,$H$6,FALSE)</f>
        <v>2875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356</v>
      </c>
      <c r="D14" s="7">
        <f ca="1">VLOOKUP(A14,'Salaires bruts'!$C$19:$P$25,$H$6,FALSE)</f>
        <v>10000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2500</v>
      </c>
      <c r="E16" s="8"/>
      <c r="G16" t="s">
        <v>373</v>
      </c>
      <c r="H16" s="40">
        <f ca="1">SUM(D16:D20)</f>
        <v>129500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2000</v>
      </c>
      <c r="E17" s="8"/>
      <c r="G17" t="s">
        <v>406</v>
      </c>
      <c r="H17" s="40">
        <f ca="1">VLOOKUP(G17,Primes!$C$25:$O$25,'Janv 2025'!$H$6,FALSE)</f>
        <v>129500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110000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15000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364</v>
      </c>
      <c r="D22" s="8">
        <f ca="1">VLOOKUP(A22,'AVS AC PP'!$C$25:$O$29,'Janv 2025'!$H$6,FALSE)</f>
        <v>1254.9499999999998</v>
      </c>
      <c r="G22" t="s">
        <v>352</v>
      </c>
      <c r="H22" s="40">
        <f ca="1">SUM(D22:D25)</f>
        <v>15160.8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364</v>
      </c>
      <c r="D23" s="8">
        <f ca="1">VLOOKUP(A23,'AVS AC PP'!$C$25:$O$29,'Janv 2025'!$H$6,FALSE)</f>
        <v>737.80000000000018</v>
      </c>
      <c r="G23" t="s">
        <v>406</v>
      </c>
      <c r="H23" s="40">
        <f ca="1">VLOOKUP(G23,'AVS AC PP'!$C$30:$O$30,'Janv 2025'!$H$6,FALSE)</f>
        <v>15160.8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364</v>
      </c>
      <c r="D24" s="8">
        <f ca="1">VLOOKUP(A24,'AVS AC PP'!$C$25:$O$29,'Janv 2025'!$H$6,FALSE)</f>
        <v>11048.699999999999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364</v>
      </c>
      <c r="D25" s="8">
        <f ca="1">VLOOKUP(A25,'AVS AC PP'!$C$25:$O$29,'Janv 2025'!$H$6,FALSE)</f>
        <v>2119.35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374</v>
      </c>
      <c r="D27" s="8">
        <f ca="1">VLOOKUP(A27,'AANP - LAA PP'!$C$20:$P$24,$H$6,FALSE)</f>
        <v>84.2</v>
      </c>
      <c r="G27" t="s">
        <v>369</v>
      </c>
      <c r="H27" s="40">
        <f ca="1">SUM(D27:D30)</f>
        <v>418.79999999999995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374</v>
      </c>
      <c r="D28" s="8">
        <f ca="1">VLOOKUP(A28,'AANP - LAA PP'!$C$20:$P$24,$H$6,FALSE)</f>
        <v>49.5</v>
      </c>
      <c r="G28" t="s">
        <v>406</v>
      </c>
      <c r="H28" s="40">
        <f ca="1">VLOOKUP(G28,'AANP - LAA PP'!$C$25:$O$25,'Janv 2025'!$H$6,FALSE)</f>
        <v>418.79999999999995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374</v>
      </c>
      <c r="D29" s="8">
        <f ca="1">VLOOKUP(A29,'AANP - LAA PP'!$C$20:$P$24,$H$6,FALSE)</f>
        <v>180.14999999999998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374</v>
      </c>
      <c r="D30" s="8">
        <f ca="1">VLOOKUP(A30,'AANP - LAA PP'!$C$20:$P$24,$H$6,FALSE)</f>
        <v>104.94999999999999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375</v>
      </c>
      <c r="D32" s="8">
        <f ca="1">VLOOKUP(A32,IJM!$C$20:$P$24,$H$6,FALSE)</f>
        <v>56.95</v>
      </c>
      <c r="G32" t="s">
        <v>368</v>
      </c>
      <c r="H32" s="40">
        <f ca="1">SUM(D32:D35)</f>
        <v>346.7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375</v>
      </c>
      <c r="D33" s="8">
        <f ca="1">VLOOKUP(A33,IJM!$C$20:$P$24,$H$6,FALSE)</f>
        <v>33.5</v>
      </c>
      <c r="G33" t="s">
        <v>406</v>
      </c>
      <c r="H33" s="40">
        <f ca="1">VLOOKUP(G33,IJM!$C$25:$O$25,'Janv 2025'!$H$6,FALSE)</f>
        <v>346.7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375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375</v>
      </c>
      <c r="D35" s="8">
        <f ca="1">VLOOKUP(A35,IJM!$C$20:$P$24,$H$6,FALSE)</f>
        <v>102.5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357</v>
      </c>
      <c r="D37" s="7">
        <f ca="1">VLOOKUP(A37,'LPP part patronale'!$C$20:$O$24,'Janv 2025'!$H$6,FALSE)</f>
        <v>678.2</v>
      </c>
      <c r="G37" t="s">
        <v>362</v>
      </c>
      <c r="H37" s="40">
        <f ca="1">SUM(D37:D41)</f>
        <v>3113.8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357</v>
      </c>
      <c r="D38" s="7">
        <f ca="1">VLOOKUP(A38,'LPP part patronale'!$C$20:$O$24,'Janv 2025'!$H$6,FALSE)</f>
        <v>226.79999999999998</v>
      </c>
      <c r="G38" t="s">
        <v>406</v>
      </c>
      <c r="H38" s="40">
        <f ca="1">VLOOKUP(G38,'LPP part patronale'!$C$25:$O$25,'Janv 2025'!$H$6,FALSE)</f>
        <v>3113.8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357</v>
      </c>
      <c r="D39" s="7">
        <f ca="1">VLOOKUP(A39,'LPP part patronale'!$C$20:$O$24,'Janv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357</v>
      </c>
      <c r="D40" s="7">
        <f ca="1">VLOOKUP(A40,'LPP part patronale'!$C$20:$O$24,'Janv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357</v>
      </c>
      <c r="D41" s="7">
        <f ca="1">VLOOKUP(A41,'LPP part patronale'!$C$20:$O$24,'Janv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376</v>
      </c>
      <c r="D43" s="66"/>
      <c r="E43" s="8">
        <f ca="1">VLOOKUP(A43,'AVS AC employés'!$D$41:$P$41,'Janv 2025'!$H$6,FALSE)+SUM(D22:D25)</f>
        <v>25562.75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376</v>
      </c>
      <c r="D44" s="7"/>
      <c r="E44" s="8">
        <f ca="1">VLOOKUP(A44,'AANP - LAA'!$C$30:$O$30,'Janv 2025'!$H$6,FALSE)+SUM(D27:D30)</f>
        <v>799.8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376</v>
      </c>
      <c r="D45" s="7"/>
      <c r="E45" s="8">
        <f ca="1">VLOOKUP(A45,IJM!$C$30:$O$30,'Janv 2025'!$H$6,FALSE)+SUM(D32:D35)</f>
        <v>693.4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376</v>
      </c>
      <c r="D46" s="7"/>
      <c r="E46" s="8">
        <f ca="1">SUM(D37:D41)*2</f>
        <v>6227.6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376</v>
      </c>
      <c r="D47" s="7"/>
      <c r="E47" s="8">
        <f>VLOOKUP(A47,'IS '!$B$13:$N$14,'Janv 2025'!$H$6,FALSE)</f>
        <v>34319.501999999993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'!$B$13:$N$14,'Janv 2025'!$H$6,FALSE)</f>
        <v>700.39799999999991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66"/>
      <c r="E50" s="8">
        <f>VLOOKUP(A50,Parking!$C$16:$O$16,'Janv 2025'!$H$6,FALSE)</f>
        <v>400</v>
      </c>
    </row>
    <row r="51" spans="1:8">
      <c r="A51" s="5"/>
      <c r="B51" s="6"/>
      <c r="C51" s="6"/>
      <c r="D51" s="66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66"/>
      <c r="E52" s="8">
        <f>VLOOKUP(A52,URSSAF!$C$16:$O$16,'Janv 2025'!$H$6,FALSE)</f>
        <v>608.4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66"/>
      <c r="E54" s="115">
        <v>1827.85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398</v>
      </c>
      <c r="D55" s="7"/>
      <c r="E55" s="8">
        <f ca="1">SUM(D10:D54)-SUM(E10:E54)</f>
        <v>133667.10000000003</v>
      </c>
      <c r="G55" s="116">
        <v>133667.95000000001</v>
      </c>
      <c r="H55" s="40">
        <f ca="1">+E55-G55</f>
        <v>-0.84999999997671694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204806.80000000005</v>
      </c>
      <c r="E58" s="13">
        <f ca="1">SUM(E9:E57)</f>
        <v>204806.80000000005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3DAB-8B47-4C1C-85EF-C6A1CEF20EA3}">
  <sheetPr>
    <pageSetUpPr fitToPage="1"/>
  </sheetPr>
  <dimension ref="A5:H59"/>
  <sheetViews>
    <sheetView workbookViewId="0">
      <selection activeCell="E25" sqref="E25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472</v>
      </c>
      <c r="D6" s="3" t="s">
        <v>502</v>
      </c>
      <c r="E6" s="1"/>
      <c r="G6" s="109">
        <f>MONTH(C6&amp;1)</f>
        <v>10</v>
      </c>
      <c r="H6" s="110">
        <f>+G6+1</f>
        <v>11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473</v>
      </c>
      <c r="D10" s="7">
        <f ca="1">VLOOKUP(A10,'Salaires bruts'!$C$19:$P$25,$H$6,FALSE)</f>
        <v>16283.35</v>
      </c>
      <c r="E10" s="8"/>
      <c r="G10" t="s">
        <v>372</v>
      </c>
      <c r="H10" s="40">
        <f ca="1">SUM(D10:D14)</f>
        <v>56616.35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473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bruts'!C25:O25,'Oct 2025'!$H$6,FALSE)</f>
        <v>56616.35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473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473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473</v>
      </c>
      <c r="D14" s="7">
        <f ca="1">VLOOKUP(A14,'Salaires bruts'!$C$19:$P$25,$H$6,FALSE)</f>
        <v>8333.35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VLOOKUP(G17,Primes!$C$25:$O$25,'Oct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474</v>
      </c>
      <c r="D22" s="8">
        <f ca="1">VLOOKUP(A22,'AVS AC PP'!$C$25:$O$29,'Oct 2025'!$H$6,FALSE)</f>
        <v>1470.55</v>
      </c>
      <c r="G22" t="s">
        <v>352</v>
      </c>
      <c r="H22" s="40">
        <f ca="1">SUM(D22:D25)</f>
        <v>5101.7500000000009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474</v>
      </c>
      <c r="D23" s="8">
        <f ca="1">VLOOKUP(A23,'AVS AC PP'!$C$25:$O$29,'Oct 2025'!$H$6,FALSE)</f>
        <v>557.10000000000014</v>
      </c>
      <c r="G23" t="s">
        <v>406</v>
      </c>
      <c r="H23" s="40">
        <f ca="1">VLOOKUP(G23,'AVS AC PP'!$C$30:$O$30,'Oct 2025'!$H$6,FALSE)</f>
        <v>5101.7500000000009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474</v>
      </c>
      <c r="D24" s="8">
        <f ca="1">VLOOKUP(A24,'AVS AC PP'!$C$25:$O$29,'Oct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474</v>
      </c>
      <c r="D25" s="8">
        <f ca="1">VLOOKUP(A25,'AVS AC PP'!$C$25:$O$29,'Oct 2025'!$H$6,FALSE)</f>
        <v>752.8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475</v>
      </c>
      <c r="D27" s="8">
        <f ca="1">VLOOKUP(A27,'AANP - LAA'!$C$20:$P$24,$H$6,FALSE)</f>
        <v>88.35</v>
      </c>
      <c r="G27" t="s">
        <v>369</v>
      </c>
      <c r="H27" s="40">
        <f ca="1">SUM(D27:D30)</f>
        <v>315.5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475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LAA'!$C$25:$O$25,'Oct 2025'!$H$6,FALSE)</f>
        <v>315.5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475</v>
      </c>
      <c r="D29" s="8">
        <f ca="1">VLOOKUP(A29,'AANP - LAA'!$C$20:$P$24,$H$6,FALSE)</f>
        <v>148.5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475</v>
      </c>
      <c r="D30" s="8">
        <f ca="1">VLOOKUP(A30,'AANP - LAA'!$C$20:$P$24,$H$6,FALSE)</f>
        <v>45.199999999999996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476</v>
      </c>
      <c r="D32" s="8">
        <f ca="1">VLOOKUP(A32,IJM!$C$20:$P$24,$H$6,FALSE)</f>
        <v>66.75</v>
      </c>
      <c r="G32" t="s">
        <v>368</v>
      </c>
      <c r="H32" s="40">
        <f ca="1">SUM(D32:D35)</f>
        <v>252.6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476</v>
      </c>
      <c r="D33" s="8">
        <f ca="1">VLOOKUP(A33,IJM!$C$20:$P$24,$H$6,FALSE)</f>
        <v>25.3</v>
      </c>
      <c r="G33" t="s">
        <v>406</v>
      </c>
      <c r="H33" s="40">
        <f ca="1">VLOOKUP(G33,IJM!$C$25:$O$25,'Oct 2025'!$H$6,FALSE)</f>
        <v>252.6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476</v>
      </c>
      <c r="D34" s="8">
        <f ca="1">VLOOKUP(A34,IJM!$C$20:$P$24,$H$6,FALSE)</f>
        <v>126.4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476</v>
      </c>
      <c r="D35" s="8">
        <f ca="1">VLOOKUP(A35,IJM!$C$20:$P$24,$H$6,FALSE)</f>
        <v>34.15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477</v>
      </c>
      <c r="D37" s="7">
        <f ca="1">VLOOKUP(A37,'LPP part patronale'!$C$20:$O$24,'Oct 2025'!$H$6,FALSE)</f>
        <v>349.3</v>
      </c>
      <c r="G37" t="s">
        <v>362</v>
      </c>
      <c r="H37" s="40">
        <f ca="1">SUM(D37:D41)</f>
        <v>2964.85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477</v>
      </c>
      <c r="D38" s="7">
        <f ca="1">VLOOKUP(A38,'LPP part patronale'!$C$20:$O$24,'Oct 2025'!$H$6,FALSE)</f>
        <v>406.75</v>
      </c>
      <c r="G38" t="s">
        <v>406</v>
      </c>
      <c r="H38" s="40">
        <f ca="1">VLOOKUP(G38,'LPP part patronale'!$C$25:$O$25,'Oct 2025'!$H$6,FALSE)</f>
        <v>2964.8500000000004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477</v>
      </c>
      <c r="D39" s="7">
        <f ca="1">VLOOKUP(A39,'LPP part patronale'!$C$20:$O$24,'Oct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477</v>
      </c>
      <c r="D40" s="7">
        <f ca="1">VLOOKUP(A40,'LPP part patronale'!$C$20:$O$24,'Oct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477</v>
      </c>
      <c r="D41" s="7">
        <f ca="1">VLOOKUP(A41,'LPP part patronale'!$C$20:$O$24,'Oct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478</v>
      </c>
      <c r="D43" s="66"/>
      <c r="E43" s="8">
        <f ca="1">VLOOKUP(A43,'AVS AC employés'!$D$41:$P$41,'Oct 2025'!$H$6,FALSE)+SUM(D22:D25)</f>
        <v>8730.5500000000011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478</v>
      </c>
      <c r="D44" s="7"/>
      <c r="E44" s="8">
        <f ca="1">VLOOKUP(A44,'AANP - LAA'!$C$30:$O$30,'Oct 2025'!$H$6,FALSE)+SUM(D27:D30)</f>
        <v>631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478</v>
      </c>
      <c r="D45" s="7"/>
      <c r="E45" s="8">
        <f ca="1">VLOOKUP(A45,IJM!$C$30:$O$30,'Oct 2025'!$H$6,FALSE)+SUM(D32:D35)</f>
        <v>505.2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478</v>
      </c>
      <c r="D46" s="7"/>
      <c r="E46" s="8">
        <f ca="1">SUM(D37:D41)*2</f>
        <v>5929.7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478</v>
      </c>
      <c r="D47" s="7"/>
      <c r="E47" s="8">
        <f>VLOOKUP(A47,'IS '!$B$13:$N$14,'Oct 2025'!$H$6,FALSE)</f>
        <v>7908.8939999999993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'!$B$13:$N$14,'Oct 2025'!$H$6,FALSE)</f>
        <v>161.40599999999998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VLOOKUP(A50,Parking!$C$16:$O$16,'Oct 2025'!$H$6,FALSE)</f>
        <v>200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VLOOKUP(A52,URSSAF!$C$16:$O$16,'Oct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479</v>
      </c>
      <c r="D55" s="7"/>
      <c r="E55" s="8">
        <f ca="1">SUM(D10:D54)-SUM(E10:E54)</f>
        <v>41184.30000000001</v>
      </c>
      <c r="G55" s="116">
        <v>41184.300000000003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65251.05000000001</v>
      </c>
      <c r="E58" s="13">
        <f ca="1">SUM(E9:E57)</f>
        <v>65251.05000000001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4A61-178F-445F-B84F-DA25B9A3FB54}">
  <sheetPr>
    <pageSetUpPr fitToPage="1"/>
  </sheetPr>
  <dimension ref="A5:H59"/>
  <sheetViews>
    <sheetView topLeftCell="A28" workbookViewId="0">
      <selection activeCell="K55" sqref="K55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480</v>
      </c>
      <c r="D6" s="3" t="s">
        <v>502</v>
      </c>
      <c r="E6" s="1"/>
      <c r="G6" s="109">
        <f>MONTH(C6&amp;1)</f>
        <v>11</v>
      </c>
      <c r="H6" s="110">
        <f>+G6+1</f>
        <v>12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481</v>
      </c>
      <c r="D10" s="7">
        <f ca="1">VLOOKUP(A10,'Salaires bruts'!$C$19:$P$25,$H$6,FALSE)</f>
        <v>16283.35</v>
      </c>
      <c r="E10" s="8"/>
      <c r="G10" t="s">
        <v>372</v>
      </c>
      <c r="H10" s="40">
        <f ca="1">SUM(D10:D14)</f>
        <v>56616.35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481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bruts'!C25:O25,'Nov 2025'!$H$6,FALSE)</f>
        <v>56616.35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481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481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481</v>
      </c>
      <c r="D14" s="7">
        <f ca="1">VLOOKUP(A14,'Salaires bruts'!$C$19:$P$25,$H$6,FALSE)</f>
        <v>8333.35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VLOOKUP(G17,Primes!$C$25:$O$25,'Nov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482</v>
      </c>
      <c r="D22" s="8">
        <f ca="1">VLOOKUP(A22,'AVS AC PP'!$C$25:$O$29,'Nov 2025'!$H$6,FALSE)</f>
        <v>1471.05</v>
      </c>
      <c r="G22" t="s">
        <v>352</v>
      </c>
      <c r="H22" s="40">
        <f ca="1">SUM(D22:D25)</f>
        <v>5102.5000000000009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482</v>
      </c>
      <c r="D23" s="8">
        <f ca="1">VLOOKUP(A23,'AVS AC PP'!$C$25:$O$29,'Nov 2025'!$H$6,FALSE)</f>
        <v>557.35000000000014</v>
      </c>
      <c r="G23" t="s">
        <v>406</v>
      </c>
      <c r="H23" s="40">
        <f ca="1">VLOOKUP(G23,'AVS AC PP'!$C$30:$O$30,'Nov 2025'!$H$6,FALSE)</f>
        <v>5102.5000000000009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482</v>
      </c>
      <c r="D24" s="8">
        <f ca="1">VLOOKUP(A24,'AVS AC PP'!$C$25:$O$29,'Nov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482</v>
      </c>
      <c r="D25" s="8">
        <f ca="1">VLOOKUP(A25,'AVS AC PP'!$C$25:$O$29,'Nov 2025'!$H$6,FALSE)</f>
        <v>752.8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483</v>
      </c>
      <c r="D27" s="8">
        <f ca="1">VLOOKUP(A27,'AANP - LAA'!$C$20:$P$24,$H$6,FALSE)</f>
        <v>88.1</v>
      </c>
      <c r="G27" t="s">
        <v>369</v>
      </c>
      <c r="H27" s="40">
        <f ca="1">SUM(D27:D30)</f>
        <v>303.34999999999997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483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LAA'!$C$25:$O$25,'Nov 2025'!$H$6,FALSE)</f>
        <v>303.34999999999997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483</v>
      </c>
      <c r="D29" s="8">
        <f ca="1">VLOOKUP(A29,'AANP - LAA'!$C$20:$P$24,$H$6,FALSE)</f>
        <v>136.6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483</v>
      </c>
      <c r="D30" s="8">
        <f ca="1">VLOOKUP(A30,'AANP - LAA'!$C$20:$P$24,$H$6,FALSE)</f>
        <v>45.199999999999996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484</v>
      </c>
      <c r="D32" s="8">
        <f ca="1">VLOOKUP(A32,IJM!$C$20:$P$24,$H$6,FALSE)</f>
        <v>66.75</v>
      </c>
      <c r="G32" t="s">
        <v>368</v>
      </c>
      <c r="H32" s="40">
        <f ca="1">SUM(D32:D35)</f>
        <v>232.1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484</v>
      </c>
      <c r="D33" s="8">
        <f ca="1">VLOOKUP(A33,IJM!$C$20:$P$24,$H$6,FALSE)</f>
        <v>25.3</v>
      </c>
      <c r="G33" t="s">
        <v>406</v>
      </c>
      <c r="H33" s="40">
        <f ca="1">VLOOKUP(G33,IJM!$C$25:$O$25,'Nov 2025'!$H$6,FALSE)</f>
        <v>232.1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484</v>
      </c>
      <c r="D34" s="8">
        <f ca="1">VLOOKUP(A34,IJM!$C$20:$P$24,$H$6,FALSE)</f>
        <v>105.9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484</v>
      </c>
      <c r="D35" s="8">
        <f ca="1">VLOOKUP(A35,IJM!$C$20:$P$24,$H$6,FALSE)</f>
        <v>34.15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485</v>
      </c>
      <c r="D37" s="7">
        <f ca="1">VLOOKUP(A37,'LPP part patronale'!$C$20:$O$24,'Nov 2025'!$H$6,FALSE)</f>
        <v>349.3</v>
      </c>
      <c r="G37" t="s">
        <v>362</v>
      </c>
      <c r="H37" s="40">
        <f ca="1">SUM(D37:D41)</f>
        <v>2964.85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485</v>
      </c>
      <c r="D38" s="7">
        <f ca="1">VLOOKUP(A38,'LPP part patronale'!$C$20:$O$24,'Nov 2025'!$H$6,FALSE)</f>
        <v>406.75</v>
      </c>
      <c r="G38" t="s">
        <v>406</v>
      </c>
      <c r="H38" s="40">
        <f ca="1">VLOOKUP(G38,'LPP part patronale'!$C$25:$O$25,'Nov 2025'!$H$6,FALSE)</f>
        <v>2964.8500000000004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485</v>
      </c>
      <c r="D39" s="7">
        <f ca="1">VLOOKUP(A39,'LPP part patronale'!$C$20:$O$24,'Nov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485</v>
      </c>
      <c r="D40" s="7">
        <f ca="1">VLOOKUP(A40,'LPP part patronale'!$C$20:$O$24,'Nov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485</v>
      </c>
      <c r="D41" s="7">
        <f ca="1">VLOOKUP(A41,'LPP part patronale'!$C$20:$O$24,'Nov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486</v>
      </c>
      <c r="D43" s="66"/>
      <c r="E43" s="8">
        <f ca="1">VLOOKUP(A43,'AVS AC employés'!$D$41:$P$41,'Nov 2025'!$H$6,FALSE)+SUM(D22:D25)</f>
        <v>8731.8000000000011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486</v>
      </c>
      <c r="D44" s="7"/>
      <c r="E44" s="8">
        <f ca="1">VLOOKUP(A44,'AANP - LAA'!$C$30:$O$30,'Nov 2025'!$H$6,FALSE)+SUM(D27:D30)</f>
        <v>606.69999999999993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486</v>
      </c>
      <c r="D45" s="7"/>
      <c r="E45" s="8">
        <f ca="1">VLOOKUP(A45,IJM!$C$30:$O$30,'Nov 2025'!$H$6,FALSE)+SUM(D32:D35)</f>
        <v>464.2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486</v>
      </c>
      <c r="D46" s="7"/>
      <c r="E46" s="8">
        <f ca="1">SUM(D37:D41)*2</f>
        <v>5929.7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486</v>
      </c>
      <c r="D47" s="7"/>
      <c r="E47" s="8">
        <f>VLOOKUP(A47,'IS '!$B$13:$N$14,'Nov 2025'!$H$6,FALSE)</f>
        <v>7999.5930000000008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'!$B$13:$N$14,'Nov 2025'!$H$6,FALSE)</f>
        <v>163.25700000000001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VLOOKUP(A50,Parking!$C$16:$O$16,'Nov 2025'!$H$6,FALSE)</f>
        <v>200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VLOOKUP(A52,URSSAF!$C$16:$O$16,'Nov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487</v>
      </c>
      <c r="D55" s="7"/>
      <c r="E55" s="8">
        <f ca="1">SUM(D10:D54)-SUM(E10:E54)</f>
        <v>41123.900000000009</v>
      </c>
      <c r="G55" s="116">
        <v>41123.9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65219.150000000009</v>
      </c>
      <c r="E58" s="13">
        <f ca="1">SUM(E9:E57)</f>
        <v>65219.150000000009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9759-725E-4CAA-AC4E-10B952C54267}">
  <sheetPr>
    <pageSetUpPr fitToPage="1"/>
  </sheetPr>
  <dimension ref="A5:H59"/>
  <sheetViews>
    <sheetView tabSelected="1" topLeftCell="A31" workbookViewId="0">
      <selection activeCell="M20" sqref="M20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488</v>
      </c>
      <c r="D6" s="3" t="s">
        <v>502</v>
      </c>
      <c r="E6" s="1"/>
      <c r="G6" s="109">
        <f>MONTH(C6&amp;1)</f>
        <v>12</v>
      </c>
      <c r="H6" s="110">
        <f>+G6+1</f>
        <v>13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489</v>
      </c>
      <c r="D10" s="7">
        <f ca="1">VLOOKUP(A10,'Salaires bruts'!$C$19:$P$25,$H$6,FALSE)</f>
        <v>15039.85</v>
      </c>
      <c r="E10" s="8"/>
      <c r="G10" t="s">
        <v>372</v>
      </c>
      <c r="H10" s="40">
        <f ca="1">SUM(D10:D14)</f>
        <v>55372.85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489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bruts'!C25:O25,'Dec 2025'!$H$6,FALSE)</f>
        <v>55372.85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489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489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489</v>
      </c>
      <c r="D14" s="7">
        <f ca="1">VLOOKUP(A14,'Salaires bruts'!$C$19:$P$25,$H$6,FALSE)</f>
        <v>8333.35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VLOOKUP(G17,Primes!$C$25:$O$25,'Dec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490</v>
      </c>
      <c r="D22" s="8">
        <f ca="1">VLOOKUP(A22,'AVS AC PP'!$C$25:$O$29,'Dec 2025'!$H$6,FALSE)</f>
        <v>1359.3500000000001</v>
      </c>
      <c r="G22" t="s">
        <v>352</v>
      </c>
      <c r="H22" s="40">
        <f ca="1">SUM(D22:D25)</f>
        <v>4990.3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490</v>
      </c>
      <c r="D23" s="8">
        <f ca="1">VLOOKUP(A23,'AVS AC PP'!$C$25:$O$29,'Dec 2025'!$H$6,FALSE)</f>
        <v>556.75</v>
      </c>
      <c r="G23" t="s">
        <v>406</v>
      </c>
      <c r="H23" s="40">
        <f ca="1">VLOOKUP(G23,'AVS AC PP'!$C$30:$O$30,'Dec 2025'!$H$6,FALSE)</f>
        <v>4990.3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490</v>
      </c>
      <c r="D24" s="8">
        <f ca="1">VLOOKUP(A24,'AVS AC PP'!$C$25:$O$29,'Dec 2025'!$H$6,FALSE)</f>
        <v>2321.1999999999998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490</v>
      </c>
      <c r="D25" s="8">
        <f ca="1">VLOOKUP(A25,'AVS AC PP'!$C$25:$O$29,'Dec 2025'!$H$6,FALSE)</f>
        <v>753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491</v>
      </c>
      <c r="D27" s="8">
        <f ca="1">VLOOKUP(A27,'AANP - LAA'!$C$20:$P$24,$H$6,FALSE)</f>
        <v>81.349999999999994</v>
      </c>
      <c r="G27" t="s">
        <v>369</v>
      </c>
      <c r="H27" s="40">
        <f ca="1">SUM(D27:D30)</f>
        <v>296.7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491</v>
      </c>
      <c r="D28" s="8">
        <f ca="1">VLOOKUP(A28,'AANP - LAA'!$C$20:$P$24,$H$6,FALSE)</f>
        <v>33.299999999999997</v>
      </c>
      <c r="G28" t="s">
        <v>406</v>
      </c>
      <c r="H28" s="40">
        <f ca="1">VLOOKUP(G28,'AANP - LAA'!$C$25:$O$25,'Dec 2025'!$H$6,FALSE)</f>
        <v>296.7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491</v>
      </c>
      <c r="D29" s="8">
        <f ca="1">VLOOKUP(A29,'AANP - LAA'!$C$20:$P$24,$H$6,FALSE)</f>
        <v>136.94999999999999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491</v>
      </c>
      <c r="D30" s="8">
        <f ca="1">VLOOKUP(A30,'AANP - LAA'!$C$20:$P$24,$H$6,FALSE)</f>
        <v>45.1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492</v>
      </c>
      <c r="D32" s="8">
        <f ca="1">VLOOKUP(A32,IJM!$C$20:$P$24,$H$6,FALSE)</f>
        <v>61.699999999999996</v>
      </c>
      <c r="G32" t="s">
        <v>368</v>
      </c>
      <c r="H32" s="40">
        <f ca="1">SUM(D32:D35)</f>
        <v>227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492</v>
      </c>
      <c r="D33" s="8">
        <f ca="1">VLOOKUP(A33,IJM!$C$20:$P$24,$H$6,FALSE)</f>
        <v>25.1</v>
      </c>
      <c r="G33" t="s">
        <v>406</v>
      </c>
      <c r="H33" s="40">
        <f ca="1">VLOOKUP(G33,IJM!$C$25:$O$25,'Dec 2025'!$H$6,FALSE)</f>
        <v>227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492</v>
      </c>
      <c r="D34" s="8">
        <f ca="1">VLOOKUP(A34,IJM!$C$20:$P$24,$H$6,FALSE)</f>
        <v>105.95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492</v>
      </c>
      <c r="D35" s="8">
        <f ca="1">VLOOKUP(A35,IJM!$C$20:$P$24,$H$6,FALSE)</f>
        <v>34.25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493</v>
      </c>
      <c r="D37" s="7">
        <f ca="1">VLOOKUP(A37,'LPP part patronale'!$C$20:$O$24,'Dec 2025'!$H$6,FALSE)</f>
        <v>349.3</v>
      </c>
      <c r="G37" t="s">
        <v>362</v>
      </c>
      <c r="H37" s="40">
        <f ca="1">SUM(D37:D41)</f>
        <v>2964.85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493</v>
      </c>
      <c r="D38" s="7">
        <f ca="1">VLOOKUP(A38,'LPP part patronale'!$C$20:$O$24,'Dec 2025'!$H$6,FALSE)</f>
        <v>406.75</v>
      </c>
      <c r="G38" t="s">
        <v>406</v>
      </c>
      <c r="H38" s="40">
        <f ca="1">VLOOKUP(G38,'LPP part patronale'!$C$25:$O$25,'Dec 2025'!$H$6,FALSE)</f>
        <v>2964.8500000000004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493</v>
      </c>
      <c r="D39" s="7">
        <f ca="1">VLOOKUP(A39,'LPP part patronale'!$C$20:$O$24,'Dec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493</v>
      </c>
      <c r="D40" s="7">
        <f ca="1">VLOOKUP(A40,'LPP part patronale'!$C$20:$O$24,'Dec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493</v>
      </c>
      <c r="D41" s="7">
        <f ca="1">VLOOKUP(A41,'LPP part patronale'!$C$20:$O$24,'Dec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494</v>
      </c>
      <c r="D43" s="66"/>
      <c r="E43" s="8">
        <f ca="1">VLOOKUP(A43,'AVS AC employés'!$D$41:$P$41,'Dec 2025'!$H$6,FALSE)+SUM(D22:D25)</f>
        <v>8539.75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494</v>
      </c>
      <c r="D44" s="7"/>
      <c r="E44" s="8">
        <f ca="1">VLOOKUP(A44,'AANP - LAA'!$C$30:$O$30,'Dec 2025'!$H$6,FALSE)+SUM(D27:D30)</f>
        <v>593.4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494</v>
      </c>
      <c r="D45" s="7"/>
      <c r="E45" s="8">
        <f ca="1">VLOOKUP(A45,IJM!$C$30:$O$30,'Dec 2025'!$H$6,FALSE)+SUM(D32:D35)</f>
        <v>454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494</v>
      </c>
      <c r="D46" s="7"/>
      <c r="E46" s="8">
        <f ca="1">SUM(D37:D41)*2</f>
        <v>5929.7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494</v>
      </c>
      <c r="D47" s="7"/>
      <c r="E47" s="8">
        <f>VLOOKUP(A47,'IS '!$B$13:$N$14,'Dec 2025'!$H$6,FALSE)</f>
        <v>7982.6880000000001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'!$B$13:$N$14,'Dec 2025'!$H$6,FALSE)</f>
        <v>162.91200000000001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VLOOKUP(A50,Parking!$C$16:$O$16,'Dec 2025'!$H$6,FALSE)</f>
        <v>200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VLOOKUP(A52,URSSAF!$C$16:$O$16,'Dec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495</v>
      </c>
      <c r="D55" s="7"/>
      <c r="E55" s="8">
        <f ca="1">SUM(D10:D54)-SUM(E10:E54)</f>
        <v>39989.249999999985</v>
      </c>
      <c r="G55" s="116">
        <v>39989.25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63851.69999999999</v>
      </c>
      <c r="E58" s="13">
        <f ca="1">SUM(E9:E57)</f>
        <v>63851.699999999983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ED4A-FFB0-437A-9C13-A7B17A8A4C01}">
  <sheetPr>
    <pageSetUpPr fitToPage="1"/>
  </sheetPr>
  <dimension ref="A1:P27"/>
  <sheetViews>
    <sheetView zoomScale="115" zoomScaleNormal="115" workbookViewId="0">
      <selection activeCell="S16" sqref="S16"/>
    </sheetView>
  </sheetViews>
  <sheetFormatPr baseColWidth="10" defaultRowHeight="15"/>
  <cols>
    <col min="2" max="2" width="12.7109375" bestFit="1" customWidth="1"/>
    <col min="4" max="14" width="11.5703125" bestFit="1" customWidth="1"/>
    <col min="15" max="15" width="13.28515625" customWidth="1"/>
  </cols>
  <sheetData>
    <row r="1" spans="1:16">
      <c r="D1" s="138" t="s">
        <v>332</v>
      </c>
      <c r="E1" s="138" t="s">
        <v>333</v>
      </c>
      <c r="F1" s="138" t="s">
        <v>334</v>
      </c>
      <c r="G1" s="138" t="s">
        <v>335</v>
      </c>
      <c r="H1" s="138" t="s">
        <v>336</v>
      </c>
      <c r="I1" s="138" t="s">
        <v>337</v>
      </c>
      <c r="J1" s="138" t="s">
        <v>338</v>
      </c>
      <c r="K1" s="138" t="s">
        <v>339</v>
      </c>
      <c r="L1" s="138" t="s">
        <v>340</v>
      </c>
      <c r="M1" s="138" t="s">
        <v>341</v>
      </c>
      <c r="N1" s="138" t="s">
        <v>342</v>
      </c>
      <c r="O1" s="136" t="s">
        <v>343</v>
      </c>
      <c r="P1" s="134" t="s">
        <v>359</v>
      </c>
    </row>
    <row r="2" spans="1:16" ht="30">
      <c r="C2" s="76" t="s">
        <v>344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7"/>
      <c r="P2" s="135"/>
    </row>
    <row r="3" spans="1:16">
      <c r="A3" s="18" t="s">
        <v>325</v>
      </c>
      <c r="B3" s="18" t="s">
        <v>346</v>
      </c>
      <c r="C3" s="18">
        <v>5009</v>
      </c>
      <c r="D3" s="23">
        <v>12500</v>
      </c>
      <c r="E3" s="23">
        <v>12500</v>
      </c>
      <c r="F3" s="23">
        <v>12500</v>
      </c>
      <c r="G3" s="23">
        <v>12500</v>
      </c>
      <c r="H3" s="23">
        <v>12500</v>
      </c>
      <c r="I3" s="23">
        <v>12500</v>
      </c>
      <c r="J3" s="23">
        <v>12500</v>
      </c>
      <c r="K3" s="23">
        <v>12500</v>
      </c>
      <c r="L3" s="23">
        <v>12500</v>
      </c>
      <c r="M3" s="23">
        <v>12500</v>
      </c>
      <c r="N3" s="23">
        <v>12500</v>
      </c>
      <c r="O3" s="23">
        <v>12500</v>
      </c>
      <c r="P3" s="74">
        <f>SUM(D3:O3)</f>
        <v>150000</v>
      </c>
    </row>
    <row r="4" spans="1:16">
      <c r="A4" s="18" t="s">
        <v>326</v>
      </c>
      <c r="B4" s="18" t="s">
        <v>346</v>
      </c>
      <c r="C4" s="18">
        <v>5009</v>
      </c>
      <c r="D4" s="23">
        <v>13333</v>
      </c>
      <c r="E4" s="23">
        <v>13333</v>
      </c>
      <c r="F4" s="23">
        <v>13333</v>
      </c>
      <c r="G4" s="23">
        <v>13333</v>
      </c>
      <c r="H4" s="23">
        <v>13333</v>
      </c>
      <c r="I4" s="23">
        <v>13333</v>
      </c>
      <c r="J4" s="23">
        <v>13333</v>
      </c>
      <c r="K4" s="23">
        <v>13333</v>
      </c>
      <c r="L4" s="23">
        <v>13333</v>
      </c>
      <c r="M4" s="23">
        <v>13333</v>
      </c>
      <c r="N4" s="23">
        <v>13333</v>
      </c>
      <c r="O4" s="23">
        <v>13333</v>
      </c>
      <c r="P4" s="74">
        <f t="shared" ref="P4:P16" si="0">SUM(D4:O4)</f>
        <v>159996</v>
      </c>
    </row>
    <row r="5" spans="1:16">
      <c r="A5" s="75" t="s">
        <v>327</v>
      </c>
      <c r="B5" s="75" t="s">
        <v>346</v>
      </c>
      <c r="C5" s="75">
        <v>5012</v>
      </c>
      <c r="D5" s="23">
        <v>2875</v>
      </c>
      <c r="E5" s="23">
        <v>2875</v>
      </c>
      <c r="F5" s="23">
        <v>2875</v>
      </c>
      <c r="G5" s="126"/>
      <c r="H5" s="126"/>
      <c r="I5" s="126"/>
      <c r="J5" s="126"/>
      <c r="K5" s="126"/>
      <c r="L5" s="126"/>
      <c r="M5" s="126"/>
      <c r="N5" s="126"/>
      <c r="O5" s="126"/>
      <c r="P5" s="74">
        <f t="shared" si="0"/>
        <v>8625</v>
      </c>
    </row>
    <row r="6" spans="1:16">
      <c r="A6" s="19" t="s">
        <v>328</v>
      </c>
      <c r="B6" s="19" t="s">
        <v>348</v>
      </c>
      <c r="C6" s="19">
        <v>5000</v>
      </c>
      <c r="D6" s="23">
        <v>7583.35</v>
      </c>
      <c r="E6" s="23">
        <v>7583.35</v>
      </c>
      <c r="F6" s="23">
        <v>7583.35</v>
      </c>
      <c r="G6" s="23">
        <v>7583.35</v>
      </c>
      <c r="H6" s="23">
        <v>7583.35</v>
      </c>
      <c r="I6" s="23">
        <v>7583.35</v>
      </c>
      <c r="J6" s="23">
        <v>7583.35</v>
      </c>
      <c r="K6" s="23">
        <v>7583.35</v>
      </c>
      <c r="L6" s="23">
        <v>7583.35</v>
      </c>
      <c r="M6" s="23">
        <v>7583.35</v>
      </c>
      <c r="N6" s="23">
        <v>7583.35</v>
      </c>
      <c r="O6" s="23">
        <v>7583.35</v>
      </c>
      <c r="P6" s="74">
        <f t="shared" si="0"/>
        <v>91000.200000000012</v>
      </c>
    </row>
    <row r="7" spans="1:16">
      <c r="A7" s="20" t="s">
        <v>329</v>
      </c>
      <c r="B7" s="20" t="s">
        <v>347</v>
      </c>
      <c r="C7" s="20">
        <v>5007</v>
      </c>
      <c r="D7" s="23">
        <v>6166.65</v>
      </c>
      <c r="E7" s="23">
        <v>6166.65</v>
      </c>
      <c r="F7" s="23">
        <v>6166.65</v>
      </c>
      <c r="G7" s="23">
        <v>6166.65</v>
      </c>
      <c r="H7" s="23">
        <v>6166.65</v>
      </c>
      <c r="I7" s="23">
        <v>6166.65</v>
      </c>
      <c r="J7" s="23">
        <v>6166.65</v>
      </c>
      <c r="K7" s="23">
        <v>6166.65</v>
      </c>
      <c r="L7" s="23">
        <v>6166.65</v>
      </c>
      <c r="M7" s="23">
        <v>6166.65</v>
      </c>
      <c r="N7" s="23">
        <v>6166.65</v>
      </c>
      <c r="O7" s="23">
        <v>6166.65</v>
      </c>
      <c r="P7" s="74">
        <f t="shared" si="0"/>
        <v>73999.8</v>
      </c>
    </row>
    <row r="8" spans="1:16">
      <c r="A8" s="21" t="s">
        <v>496</v>
      </c>
      <c r="B8" s="21" t="s">
        <v>348</v>
      </c>
      <c r="C8" s="21">
        <v>5000</v>
      </c>
      <c r="D8" s="23">
        <v>1434.8</v>
      </c>
      <c r="E8" s="23">
        <v>2200</v>
      </c>
      <c r="F8" s="23">
        <v>2200</v>
      </c>
      <c r="G8" s="23">
        <v>2200</v>
      </c>
      <c r="H8" s="23">
        <v>2200</v>
      </c>
      <c r="I8" s="23">
        <v>2200</v>
      </c>
      <c r="J8" s="23">
        <v>860.85</v>
      </c>
      <c r="K8" s="126"/>
      <c r="L8" s="126"/>
      <c r="M8" s="126"/>
      <c r="N8" s="126"/>
      <c r="O8" s="126"/>
      <c r="P8" s="74">
        <f t="shared" si="0"/>
        <v>13295.65</v>
      </c>
    </row>
    <row r="9" spans="1:16">
      <c r="A9" s="21" t="s">
        <v>330</v>
      </c>
      <c r="B9" s="21" t="s">
        <v>348</v>
      </c>
      <c r="C9" s="21">
        <v>5000</v>
      </c>
      <c r="D9" s="23">
        <v>2200</v>
      </c>
      <c r="E9" s="23">
        <v>2200</v>
      </c>
      <c r="F9" s="23">
        <v>1047.5999999999999</v>
      </c>
      <c r="G9" s="126"/>
      <c r="H9" s="126"/>
      <c r="I9" s="126"/>
      <c r="J9" s="126"/>
      <c r="K9" s="126"/>
      <c r="L9" s="126"/>
      <c r="M9" s="126"/>
      <c r="N9" s="126"/>
      <c r="O9" s="126"/>
      <c r="P9" s="74">
        <f t="shared" si="0"/>
        <v>5447.6</v>
      </c>
    </row>
    <row r="10" spans="1:16">
      <c r="A10" s="21" t="s">
        <v>504</v>
      </c>
      <c r="B10" s="21" t="s">
        <v>348</v>
      </c>
      <c r="C10" s="21">
        <v>5000</v>
      </c>
      <c r="D10" s="23">
        <v>173.9</v>
      </c>
      <c r="E10" s="129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74">
        <f t="shared" si="0"/>
        <v>173.9</v>
      </c>
    </row>
    <row r="11" spans="1:16">
      <c r="A11" s="21" t="s">
        <v>506</v>
      </c>
      <c r="B11" s="21" t="s">
        <v>348</v>
      </c>
      <c r="C11" s="21">
        <v>5000</v>
      </c>
      <c r="D11" s="129"/>
      <c r="E11" s="129"/>
      <c r="F11" s="23">
        <v>1152.4000000000001</v>
      </c>
      <c r="G11" s="23">
        <v>2200</v>
      </c>
      <c r="H11" s="23">
        <v>2200</v>
      </c>
      <c r="I11" s="23">
        <v>523.79999999999995</v>
      </c>
      <c r="J11" s="126"/>
      <c r="K11" s="126"/>
      <c r="L11" s="126"/>
      <c r="M11" s="126"/>
      <c r="N11" s="126"/>
      <c r="O11" s="126"/>
      <c r="P11" s="74">
        <f t="shared" si="0"/>
        <v>6076.2</v>
      </c>
    </row>
    <row r="12" spans="1:16">
      <c r="A12" s="21" t="s">
        <v>509</v>
      </c>
      <c r="B12" s="21" t="s">
        <v>348</v>
      </c>
      <c r="C12" s="21">
        <v>5000</v>
      </c>
      <c r="D12" s="129"/>
      <c r="E12" s="129"/>
      <c r="F12" s="129"/>
      <c r="G12" s="126"/>
      <c r="H12" s="126"/>
      <c r="I12" s="23">
        <v>1152.4000000000001</v>
      </c>
      <c r="J12" s="23">
        <v>2200</v>
      </c>
      <c r="K12" s="23">
        <v>2200</v>
      </c>
      <c r="L12" s="23">
        <v>2200</v>
      </c>
      <c r="M12" s="23">
        <v>2200</v>
      </c>
      <c r="N12" s="23">
        <v>2200</v>
      </c>
      <c r="O12" s="23">
        <v>956.5</v>
      </c>
      <c r="P12" s="74">
        <f t="shared" si="0"/>
        <v>13108.9</v>
      </c>
    </row>
    <row r="13" spans="1:16">
      <c r="A13" s="19" t="s">
        <v>511</v>
      </c>
      <c r="B13" s="19" t="s">
        <v>348</v>
      </c>
      <c r="C13" s="19">
        <v>5000</v>
      </c>
      <c r="D13" s="129"/>
      <c r="E13" s="129"/>
      <c r="F13" s="129"/>
      <c r="G13" s="126"/>
      <c r="H13" s="126"/>
      <c r="I13" s="126"/>
      <c r="J13" s="126"/>
      <c r="K13" s="126"/>
      <c r="L13" s="23">
        <v>2068.1999999999998</v>
      </c>
      <c r="M13" s="23">
        <v>6500</v>
      </c>
      <c r="N13" s="23">
        <v>6500</v>
      </c>
      <c r="O13" s="23">
        <v>6500</v>
      </c>
      <c r="P13" s="74">
        <f t="shared" si="0"/>
        <v>21568.2</v>
      </c>
    </row>
    <row r="14" spans="1:16">
      <c r="A14" s="22" t="s">
        <v>508</v>
      </c>
      <c r="B14" s="22" t="s">
        <v>349</v>
      </c>
      <c r="C14" s="22">
        <v>5020</v>
      </c>
      <c r="D14" s="129"/>
      <c r="E14" s="129"/>
      <c r="F14" s="129"/>
      <c r="G14" s="126"/>
      <c r="H14" s="126"/>
      <c r="I14" s="23">
        <v>8333.35</v>
      </c>
      <c r="J14" s="23">
        <v>8333.35</v>
      </c>
      <c r="K14" s="23">
        <v>8333.35</v>
      </c>
      <c r="L14" s="23">
        <v>8333.35</v>
      </c>
      <c r="M14" s="23">
        <v>8333.35</v>
      </c>
      <c r="N14" s="23">
        <v>8333.35</v>
      </c>
      <c r="O14" s="23">
        <v>8333.35</v>
      </c>
      <c r="P14" s="74">
        <f t="shared" si="0"/>
        <v>58333.45</v>
      </c>
    </row>
    <row r="15" spans="1:16">
      <c r="A15" s="22" t="s">
        <v>331</v>
      </c>
      <c r="B15" s="22" t="s">
        <v>349</v>
      </c>
      <c r="C15" s="22">
        <v>5020</v>
      </c>
      <c r="D15" s="23">
        <v>10000</v>
      </c>
      <c r="E15" s="23">
        <v>10000</v>
      </c>
      <c r="F15" s="23">
        <v>10000</v>
      </c>
      <c r="G15" s="23">
        <v>10000</v>
      </c>
      <c r="H15" s="23">
        <v>10000</v>
      </c>
      <c r="I15" s="23">
        <v>10000</v>
      </c>
      <c r="J15" s="23">
        <v>10000</v>
      </c>
      <c r="K15" s="126"/>
      <c r="L15" s="126"/>
      <c r="M15" s="126"/>
      <c r="N15" s="126"/>
      <c r="O15" s="126"/>
      <c r="P15" s="74">
        <f t="shared" si="0"/>
        <v>70000</v>
      </c>
    </row>
    <row r="16" spans="1:16">
      <c r="D16" s="24">
        <f>SUM(D3:D15)</f>
        <v>56266.700000000004</v>
      </c>
      <c r="E16" s="24">
        <f t="shared" ref="E16:M16" si="1">SUM(E3:E15)</f>
        <v>56858</v>
      </c>
      <c r="F16" s="24">
        <f t="shared" si="1"/>
        <v>56858</v>
      </c>
      <c r="G16" s="24">
        <f t="shared" si="1"/>
        <v>53983</v>
      </c>
      <c r="H16" s="24">
        <f t="shared" si="1"/>
        <v>53983</v>
      </c>
      <c r="I16" s="24">
        <f t="shared" si="1"/>
        <v>61792.55</v>
      </c>
      <c r="J16" s="24">
        <f t="shared" si="1"/>
        <v>60977.2</v>
      </c>
      <c r="K16" s="24">
        <f t="shared" si="1"/>
        <v>50116.35</v>
      </c>
      <c r="L16" s="24">
        <f t="shared" si="1"/>
        <v>52184.549999999996</v>
      </c>
      <c r="M16" s="24">
        <f t="shared" si="1"/>
        <v>56616.35</v>
      </c>
      <c r="N16" s="24">
        <f>SUM(N3:N15)</f>
        <v>56616.35</v>
      </c>
      <c r="O16" s="24">
        <f>SUM(O3:O15)</f>
        <v>55372.85</v>
      </c>
      <c r="P16" s="73">
        <f t="shared" si="0"/>
        <v>671624.89999999991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671624.89999999991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5000</v>
      </c>
      <c r="D20" s="41">
        <f t="shared" ref="D20:O24" ca="1" si="2">SUMIF($C$3:$O$15,$C20,D$3:D$15)</f>
        <v>11392.05</v>
      </c>
      <c r="E20" s="41">
        <f t="shared" ca="1" si="2"/>
        <v>11983.35</v>
      </c>
      <c r="F20" s="41">
        <f t="shared" ca="1" si="2"/>
        <v>11983.35</v>
      </c>
      <c r="G20" s="41">
        <f t="shared" ca="1" si="2"/>
        <v>11983.35</v>
      </c>
      <c r="H20" s="41">
        <f t="shared" ca="1" si="2"/>
        <v>11983.35</v>
      </c>
      <c r="I20" s="41">
        <f t="shared" ca="1" si="2"/>
        <v>11459.55</v>
      </c>
      <c r="J20" s="41">
        <f t="shared" ca="1" si="2"/>
        <v>10644.2</v>
      </c>
      <c r="K20" s="41">
        <f t="shared" ca="1" si="2"/>
        <v>9783.35</v>
      </c>
      <c r="L20" s="41">
        <f t="shared" ca="1" si="2"/>
        <v>11851.55</v>
      </c>
      <c r="M20" s="41">
        <f t="shared" ca="1" si="2"/>
        <v>16283.35</v>
      </c>
      <c r="N20" s="41">
        <f t="shared" ca="1" si="2"/>
        <v>16283.35</v>
      </c>
      <c r="O20" s="41">
        <f t="shared" ca="1" si="2"/>
        <v>15039.85</v>
      </c>
      <c r="P20" s="71">
        <f ca="1">SUM(D20:O20)</f>
        <v>150670.65000000002</v>
      </c>
    </row>
    <row r="21" spans="1:16">
      <c r="B21" s="20" t="s">
        <v>347</v>
      </c>
      <c r="C21" s="20">
        <v>5007</v>
      </c>
      <c r="D21" s="41">
        <f t="shared" ca="1" si="2"/>
        <v>6166.65</v>
      </c>
      <c r="E21" s="41">
        <f t="shared" ca="1" si="2"/>
        <v>6166.65</v>
      </c>
      <c r="F21" s="41">
        <f t="shared" ca="1" si="2"/>
        <v>6166.65</v>
      </c>
      <c r="G21" s="41">
        <f t="shared" ca="1" si="2"/>
        <v>6166.65</v>
      </c>
      <c r="H21" s="41">
        <f t="shared" ca="1" si="2"/>
        <v>6166.65</v>
      </c>
      <c r="I21" s="41">
        <f t="shared" ca="1" si="2"/>
        <v>6166.65</v>
      </c>
      <c r="J21" s="41">
        <f t="shared" ca="1" si="2"/>
        <v>6166.65</v>
      </c>
      <c r="K21" s="41">
        <f t="shared" ca="1" si="2"/>
        <v>6166.65</v>
      </c>
      <c r="L21" s="41">
        <f t="shared" ca="1" si="2"/>
        <v>6166.65</v>
      </c>
      <c r="M21" s="41">
        <f t="shared" ca="1" si="2"/>
        <v>6166.65</v>
      </c>
      <c r="N21" s="41">
        <f t="shared" ca="1" si="2"/>
        <v>6166.65</v>
      </c>
      <c r="O21" s="41">
        <f t="shared" ca="1" si="2"/>
        <v>6166.65</v>
      </c>
      <c r="P21" s="71">
        <f t="shared" ref="P21:P25" ca="1" si="3">SUM(D21:O21)</f>
        <v>73999.8</v>
      </c>
    </row>
    <row r="22" spans="1:16">
      <c r="B22" s="18" t="s">
        <v>346</v>
      </c>
      <c r="C22" s="18">
        <v>5009</v>
      </c>
      <c r="D22" s="41">
        <f t="shared" ca="1" si="2"/>
        <v>25833</v>
      </c>
      <c r="E22" s="41">
        <f t="shared" ca="1" si="2"/>
        <v>25833</v>
      </c>
      <c r="F22" s="41">
        <f t="shared" ca="1" si="2"/>
        <v>25833</v>
      </c>
      <c r="G22" s="41">
        <f t="shared" ca="1" si="2"/>
        <v>25833</v>
      </c>
      <c r="H22" s="41">
        <f t="shared" ca="1" si="2"/>
        <v>25833</v>
      </c>
      <c r="I22" s="41">
        <f t="shared" ca="1" si="2"/>
        <v>25833</v>
      </c>
      <c r="J22" s="41">
        <f t="shared" ca="1" si="2"/>
        <v>25833</v>
      </c>
      <c r="K22" s="41">
        <f t="shared" ca="1" si="2"/>
        <v>25833</v>
      </c>
      <c r="L22" s="41">
        <f t="shared" ca="1" si="2"/>
        <v>25833</v>
      </c>
      <c r="M22" s="41">
        <f t="shared" ca="1" si="2"/>
        <v>25833</v>
      </c>
      <c r="N22" s="41">
        <f t="shared" ca="1" si="2"/>
        <v>25833</v>
      </c>
      <c r="O22" s="41">
        <f t="shared" ca="1" si="2"/>
        <v>25833</v>
      </c>
      <c r="P22" s="71">
        <f t="shared" ca="1" si="3"/>
        <v>309996</v>
      </c>
    </row>
    <row r="23" spans="1:16">
      <c r="B23" s="75" t="s">
        <v>370</v>
      </c>
      <c r="C23" s="75">
        <v>5012</v>
      </c>
      <c r="D23" s="41">
        <f t="shared" ca="1" si="2"/>
        <v>2875</v>
      </c>
      <c r="E23" s="41">
        <f t="shared" ca="1" si="2"/>
        <v>2875</v>
      </c>
      <c r="F23" s="41">
        <f t="shared" ca="1" si="2"/>
        <v>2875</v>
      </c>
      <c r="G23" s="41">
        <f t="shared" ca="1" si="2"/>
        <v>0</v>
      </c>
      <c r="H23" s="41">
        <f t="shared" ca="1" si="2"/>
        <v>0</v>
      </c>
      <c r="I23" s="41">
        <f t="shared" ca="1" si="2"/>
        <v>0</v>
      </c>
      <c r="J23" s="41">
        <f t="shared" ca="1" si="2"/>
        <v>0</v>
      </c>
      <c r="K23" s="41">
        <f t="shared" ca="1" si="2"/>
        <v>0</v>
      </c>
      <c r="L23" s="41">
        <f t="shared" ca="1" si="2"/>
        <v>0</v>
      </c>
      <c r="M23" s="41">
        <f t="shared" ca="1" si="2"/>
        <v>0</v>
      </c>
      <c r="N23" s="41">
        <f t="shared" ca="1" si="2"/>
        <v>0</v>
      </c>
      <c r="O23" s="41">
        <f t="shared" ca="1" si="2"/>
        <v>0</v>
      </c>
      <c r="P23" s="71">
        <f t="shared" ref="P23" ca="1" si="4">SUM(D23:O23)</f>
        <v>8625</v>
      </c>
    </row>
    <row r="24" spans="1:16">
      <c r="B24" s="22" t="s">
        <v>349</v>
      </c>
      <c r="C24" s="22">
        <v>5020</v>
      </c>
      <c r="D24" s="41">
        <f t="shared" ca="1" si="2"/>
        <v>10000</v>
      </c>
      <c r="E24" s="41">
        <f t="shared" ca="1" si="2"/>
        <v>10000</v>
      </c>
      <c r="F24" s="41">
        <f t="shared" ca="1" si="2"/>
        <v>10000</v>
      </c>
      <c r="G24" s="41">
        <f t="shared" ca="1" si="2"/>
        <v>10000</v>
      </c>
      <c r="H24" s="41">
        <f t="shared" ca="1" si="2"/>
        <v>10000</v>
      </c>
      <c r="I24" s="41">
        <f t="shared" ca="1" si="2"/>
        <v>18333.349999999999</v>
      </c>
      <c r="J24" s="41">
        <f t="shared" ca="1" si="2"/>
        <v>18333.349999999999</v>
      </c>
      <c r="K24" s="41">
        <f t="shared" ca="1" si="2"/>
        <v>8333.35</v>
      </c>
      <c r="L24" s="41">
        <f t="shared" ca="1" si="2"/>
        <v>8333.35</v>
      </c>
      <c r="M24" s="41">
        <f t="shared" ca="1" si="2"/>
        <v>8333.35</v>
      </c>
      <c r="N24" s="41">
        <f t="shared" ca="1" si="2"/>
        <v>8333.35</v>
      </c>
      <c r="O24" s="41">
        <f t="shared" ca="1" si="2"/>
        <v>8333.35</v>
      </c>
      <c r="P24" s="71">
        <f t="shared" ca="1" si="3"/>
        <v>128333.45000000004</v>
      </c>
    </row>
    <row r="25" spans="1:16">
      <c r="C25" s="70" t="s">
        <v>359</v>
      </c>
      <c r="D25" s="71">
        <f ca="1">SUM(D20:D24)</f>
        <v>56266.7</v>
      </c>
      <c r="E25" s="71">
        <f t="shared" ref="E25:O25" ca="1" si="5">SUM(E20:E24)</f>
        <v>56858</v>
      </c>
      <c r="F25" s="71">
        <f t="shared" ca="1" si="5"/>
        <v>56858</v>
      </c>
      <c r="G25" s="71">
        <f t="shared" ca="1" si="5"/>
        <v>53983</v>
      </c>
      <c r="H25" s="71">
        <f t="shared" ca="1" si="5"/>
        <v>53983</v>
      </c>
      <c r="I25" s="71">
        <f t="shared" ca="1" si="5"/>
        <v>61792.549999999996</v>
      </c>
      <c r="J25" s="71">
        <f t="shared" ca="1" si="5"/>
        <v>60977.2</v>
      </c>
      <c r="K25" s="71">
        <f t="shared" ca="1" si="5"/>
        <v>50116.35</v>
      </c>
      <c r="L25" s="71">
        <f t="shared" ca="1" si="5"/>
        <v>52184.549999999996</v>
      </c>
      <c r="M25" s="71">
        <f t="shared" ca="1" si="5"/>
        <v>56616.35</v>
      </c>
      <c r="N25" s="71">
        <f t="shared" ca="1" si="5"/>
        <v>56616.35</v>
      </c>
      <c r="O25" s="71">
        <f t="shared" ca="1" si="5"/>
        <v>55372.85</v>
      </c>
      <c r="P25" s="71">
        <f t="shared" ca="1" si="3"/>
        <v>671624.89999999991</v>
      </c>
    </row>
    <row r="27" spans="1:16">
      <c r="C27" t="s">
        <v>358</v>
      </c>
      <c r="D27" s="40">
        <f ca="1">+D16-D25</f>
        <v>0</v>
      </c>
      <c r="E27" s="40">
        <f t="shared" ref="E27:P27" ca="1" si="6">+E16-E25</f>
        <v>0</v>
      </c>
      <c r="F27" s="40">
        <f t="shared" ca="1" si="6"/>
        <v>0</v>
      </c>
      <c r="G27" s="40">
        <f t="shared" ca="1" si="6"/>
        <v>0</v>
      </c>
      <c r="H27" s="40">
        <f t="shared" ca="1" si="6"/>
        <v>0</v>
      </c>
      <c r="I27" s="40">
        <f t="shared" ca="1" si="6"/>
        <v>0</v>
      </c>
      <c r="J27" s="40">
        <f t="shared" ca="1" si="6"/>
        <v>0</v>
      </c>
      <c r="K27" s="40">
        <f t="shared" ca="1" si="6"/>
        <v>0</v>
      </c>
      <c r="L27" s="40">
        <f t="shared" ca="1" si="6"/>
        <v>0</v>
      </c>
      <c r="M27" s="40">
        <f t="shared" ca="1" si="6"/>
        <v>0</v>
      </c>
      <c r="N27" s="40">
        <f t="shared" ca="1" si="6"/>
        <v>0</v>
      </c>
      <c r="O27" s="40">
        <f t="shared" ca="1" si="6"/>
        <v>0</v>
      </c>
      <c r="P27" s="40">
        <f t="shared" ca="1" si="6"/>
        <v>0</v>
      </c>
    </row>
  </sheetData>
  <mergeCells count="13">
    <mergeCell ref="P1:P2"/>
    <mergeCell ref="O1:O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F21B-54FA-40C1-8EBC-61241F4D5B9B}">
  <sheetPr>
    <pageSetUpPr fitToPage="1"/>
  </sheetPr>
  <dimension ref="A1:P27"/>
  <sheetViews>
    <sheetView workbookViewId="0">
      <selection activeCell="I30" sqref="I30"/>
    </sheetView>
  </sheetViews>
  <sheetFormatPr baseColWidth="10" defaultRowHeight="15"/>
  <cols>
    <col min="2" max="2" width="12.7109375" bestFit="1" customWidth="1"/>
    <col min="4" max="14" width="11.5703125" bestFit="1" customWidth="1"/>
    <col min="15" max="15" width="13.28515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363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5010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74">
        <f>SUM(D3:O3)</f>
        <v>0</v>
      </c>
    </row>
    <row r="4" spans="1:16">
      <c r="A4" s="18" t="s">
        <v>326</v>
      </c>
      <c r="B4" s="18" t="s">
        <v>346</v>
      </c>
      <c r="C4" s="18">
        <v>5010</v>
      </c>
      <c r="D4" s="23">
        <v>110000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4">
        <f t="shared" ref="P4:P16" si="0">SUM(D4:O4)</f>
        <v>110000</v>
      </c>
    </row>
    <row r="5" spans="1:16">
      <c r="A5" s="75" t="s">
        <v>327</v>
      </c>
      <c r="B5" s="75" t="s">
        <v>346</v>
      </c>
      <c r="C5" s="75">
        <v>5013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4">
        <f t="shared" si="0"/>
        <v>0</v>
      </c>
    </row>
    <row r="6" spans="1:16">
      <c r="A6" s="19" t="s">
        <v>328</v>
      </c>
      <c r="B6" s="19" t="s">
        <v>348</v>
      </c>
      <c r="C6" s="19">
        <v>5004</v>
      </c>
      <c r="D6" s="23">
        <v>2500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4">
        <f t="shared" si="0"/>
        <v>2500</v>
      </c>
    </row>
    <row r="7" spans="1:16">
      <c r="A7" s="20" t="s">
        <v>329</v>
      </c>
      <c r="B7" s="20" t="s">
        <v>347</v>
      </c>
      <c r="C7" s="20">
        <v>5006</v>
      </c>
      <c r="D7" s="23">
        <v>2000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74">
        <f t="shared" si="0"/>
        <v>2000</v>
      </c>
    </row>
    <row r="8" spans="1:16">
      <c r="A8" s="21" t="s">
        <v>496</v>
      </c>
      <c r="B8" s="21" t="s">
        <v>348</v>
      </c>
      <c r="C8" s="21">
        <v>5004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74">
        <f t="shared" si="0"/>
        <v>0</v>
      </c>
    </row>
    <row r="9" spans="1:16">
      <c r="A9" s="21" t="s">
        <v>330</v>
      </c>
      <c r="B9" s="21" t="s">
        <v>348</v>
      </c>
      <c r="C9" s="21">
        <v>5004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74">
        <f t="shared" si="0"/>
        <v>0</v>
      </c>
    </row>
    <row r="10" spans="1:16">
      <c r="A10" s="21" t="s">
        <v>506</v>
      </c>
      <c r="B10" s="21" t="s">
        <v>348</v>
      </c>
      <c r="C10" s="21">
        <v>5004</v>
      </c>
      <c r="D10" s="41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74">
        <f t="shared" si="0"/>
        <v>0</v>
      </c>
    </row>
    <row r="11" spans="1:16">
      <c r="A11" s="21" t="s">
        <v>509</v>
      </c>
      <c r="B11" s="21" t="s">
        <v>348</v>
      </c>
      <c r="C11" s="21">
        <v>5004</v>
      </c>
      <c r="D11" s="4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74">
        <f t="shared" si="0"/>
        <v>0</v>
      </c>
    </row>
    <row r="12" spans="1:16">
      <c r="A12" s="19" t="s">
        <v>511</v>
      </c>
      <c r="B12" s="19" t="s">
        <v>348</v>
      </c>
      <c r="C12" s="19">
        <v>5004</v>
      </c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74">
        <f t="shared" si="0"/>
        <v>0</v>
      </c>
    </row>
    <row r="13" spans="1:16">
      <c r="A13" s="21" t="s">
        <v>500</v>
      </c>
      <c r="B13" s="21" t="s">
        <v>348</v>
      </c>
      <c r="C13" s="21">
        <v>5004</v>
      </c>
      <c r="D13" s="4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74">
        <f t="shared" si="0"/>
        <v>0</v>
      </c>
    </row>
    <row r="14" spans="1:16">
      <c r="A14" s="22" t="s">
        <v>508</v>
      </c>
      <c r="B14" s="22" t="s">
        <v>349</v>
      </c>
      <c r="C14" s="22">
        <v>5021</v>
      </c>
      <c r="D14" s="41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74">
        <f t="shared" si="0"/>
        <v>0</v>
      </c>
    </row>
    <row r="15" spans="1:16">
      <c r="A15" s="22" t="s">
        <v>331</v>
      </c>
      <c r="B15" s="22" t="s">
        <v>349</v>
      </c>
      <c r="C15" s="22">
        <v>5021</v>
      </c>
      <c r="D15" s="23">
        <v>15000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74">
        <f t="shared" si="0"/>
        <v>15000</v>
      </c>
    </row>
    <row r="16" spans="1:16">
      <c r="D16" s="24">
        <f>SUM(D3:D15)</f>
        <v>129500</v>
      </c>
      <c r="E16" s="24">
        <f t="shared" ref="E16:O16" si="1">SUM(E3:E15)</f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 t="shared" si="1"/>
        <v>0</v>
      </c>
      <c r="O16" s="24">
        <f t="shared" si="1"/>
        <v>0</v>
      </c>
      <c r="P16" s="73">
        <f t="shared" si="0"/>
        <v>129500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129500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5004</v>
      </c>
      <c r="D20" s="41">
        <f t="shared" ref="D20:O24" ca="1" si="2">SUMIF($C$3:$O$15,$C20,D$3:D$15)</f>
        <v>2500</v>
      </c>
      <c r="E20" s="41">
        <f t="shared" ca="1" si="2"/>
        <v>0</v>
      </c>
      <c r="F20" s="41">
        <f t="shared" ca="1" si="2"/>
        <v>0</v>
      </c>
      <c r="G20" s="41">
        <f t="shared" ca="1" si="2"/>
        <v>0</v>
      </c>
      <c r="H20" s="41">
        <f t="shared" ca="1" si="2"/>
        <v>0</v>
      </c>
      <c r="I20" s="41">
        <f t="shared" ca="1" si="2"/>
        <v>0</v>
      </c>
      <c r="J20" s="41">
        <f t="shared" ca="1" si="2"/>
        <v>0</v>
      </c>
      <c r="K20" s="41">
        <f t="shared" ca="1" si="2"/>
        <v>0</v>
      </c>
      <c r="L20" s="41">
        <f t="shared" ca="1" si="2"/>
        <v>0</v>
      </c>
      <c r="M20" s="41">
        <f t="shared" ca="1" si="2"/>
        <v>0</v>
      </c>
      <c r="N20" s="41">
        <f t="shared" ca="1" si="2"/>
        <v>0</v>
      </c>
      <c r="O20" s="41">
        <f t="shared" ca="1" si="2"/>
        <v>0</v>
      </c>
      <c r="P20" s="71">
        <f ca="1">SUM(D20:O20)</f>
        <v>2500</v>
      </c>
    </row>
    <row r="21" spans="1:16">
      <c r="B21" s="20" t="s">
        <v>347</v>
      </c>
      <c r="C21" s="20">
        <v>5006</v>
      </c>
      <c r="D21" s="41">
        <f t="shared" ca="1" si="2"/>
        <v>2000</v>
      </c>
      <c r="E21" s="41">
        <f t="shared" ca="1" si="2"/>
        <v>0</v>
      </c>
      <c r="F21" s="41">
        <f t="shared" ca="1" si="2"/>
        <v>0</v>
      </c>
      <c r="G21" s="41">
        <f t="shared" ca="1" si="2"/>
        <v>0</v>
      </c>
      <c r="H21" s="41">
        <f t="shared" ca="1" si="2"/>
        <v>0</v>
      </c>
      <c r="I21" s="41">
        <f t="shared" ca="1" si="2"/>
        <v>0</v>
      </c>
      <c r="J21" s="41">
        <f t="shared" ca="1" si="2"/>
        <v>0</v>
      </c>
      <c r="K21" s="41">
        <f t="shared" ca="1" si="2"/>
        <v>0</v>
      </c>
      <c r="L21" s="41">
        <f t="shared" ca="1" si="2"/>
        <v>0</v>
      </c>
      <c r="M21" s="41">
        <f t="shared" ca="1" si="2"/>
        <v>0</v>
      </c>
      <c r="N21" s="41">
        <f t="shared" ca="1" si="2"/>
        <v>0</v>
      </c>
      <c r="O21" s="41">
        <f t="shared" ca="1" si="2"/>
        <v>0</v>
      </c>
      <c r="P21" s="71">
        <f t="shared" ref="P21:P25" ca="1" si="3">SUM(D21:O21)</f>
        <v>2000</v>
      </c>
    </row>
    <row r="22" spans="1:16">
      <c r="B22" s="18" t="s">
        <v>346</v>
      </c>
      <c r="C22" s="18">
        <v>5010</v>
      </c>
      <c r="D22" s="41">
        <f t="shared" ca="1" si="2"/>
        <v>110000</v>
      </c>
      <c r="E22" s="41">
        <f t="shared" ca="1" si="2"/>
        <v>0</v>
      </c>
      <c r="F22" s="41">
        <f t="shared" ca="1" si="2"/>
        <v>0</v>
      </c>
      <c r="G22" s="41">
        <f t="shared" ca="1" si="2"/>
        <v>0</v>
      </c>
      <c r="H22" s="41">
        <f t="shared" ca="1" si="2"/>
        <v>0</v>
      </c>
      <c r="I22" s="41">
        <f t="shared" ca="1" si="2"/>
        <v>0</v>
      </c>
      <c r="J22" s="41">
        <f t="shared" ca="1" si="2"/>
        <v>0</v>
      </c>
      <c r="K22" s="41">
        <f t="shared" ca="1" si="2"/>
        <v>0</v>
      </c>
      <c r="L22" s="41">
        <f t="shared" ca="1" si="2"/>
        <v>0</v>
      </c>
      <c r="M22" s="41">
        <f t="shared" ca="1" si="2"/>
        <v>0</v>
      </c>
      <c r="N22" s="41">
        <f t="shared" ca="1" si="2"/>
        <v>0</v>
      </c>
      <c r="O22" s="41">
        <f t="shared" ca="1" si="2"/>
        <v>0</v>
      </c>
      <c r="P22" s="71">
        <f t="shared" ca="1" si="3"/>
        <v>110000</v>
      </c>
    </row>
    <row r="23" spans="1:16">
      <c r="B23" s="75" t="s">
        <v>370</v>
      </c>
      <c r="C23" s="75">
        <v>5013</v>
      </c>
      <c r="D23" s="41">
        <f t="shared" ca="1" si="2"/>
        <v>0</v>
      </c>
      <c r="E23" s="41">
        <f t="shared" ca="1" si="2"/>
        <v>0</v>
      </c>
      <c r="F23" s="41">
        <f t="shared" ca="1" si="2"/>
        <v>0</v>
      </c>
      <c r="G23" s="41">
        <f t="shared" ca="1" si="2"/>
        <v>0</v>
      </c>
      <c r="H23" s="41">
        <f t="shared" ca="1" si="2"/>
        <v>0</v>
      </c>
      <c r="I23" s="41">
        <f t="shared" ca="1" si="2"/>
        <v>0</v>
      </c>
      <c r="J23" s="41">
        <f t="shared" ca="1" si="2"/>
        <v>0</v>
      </c>
      <c r="K23" s="41">
        <f t="shared" ca="1" si="2"/>
        <v>0</v>
      </c>
      <c r="L23" s="41">
        <f t="shared" ca="1" si="2"/>
        <v>0</v>
      </c>
      <c r="M23" s="41">
        <f t="shared" ca="1" si="2"/>
        <v>0</v>
      </c>
      <c r="N23" s="41">
        <f t="shared" ca="1" si="2"/>
        <v>0</v>
      </c>
      <c r="O23" s="41">
        <f t="shared" ca="1" si="2"/>
        <v>0</v>
      </c>
      <c r="P23" s="71">
        <f t="shared" ca="1" si="3"/>
        <v>0</v>
      </c>
    </row>
    <row r="24" spans="1:16">
      <c r="B24" s="22" t="s">
        <v>349</v>
      </c>
      <c r="C24" s="22">
        <v>5021</v>
      </c>
      <c r="D24" s="41">
        <f t="shared" ca="1" si="2"/>
        <v>15000</v>
      </c>
      <c r="E24" s="41">
        <f t="shared" ca="1" si="2"/>
        <v>0</v>
      </c>
      <c r="F24" s="41">
        <f t="shared" ca="1" si="2"/>
        <v>0</v>
      </c>
      <c r="G24" s="41">
        <f t="shared" ca="1" si="2"/>
        <v>0</v>
      </c>
      <c r="H24" s="41">
        <f t="shared" ca="1" si="2"/>
        <v>0</v>
      </c>
      <c r="I24" s="41">
        <f t="shared" ca="1" si="2"/>
        <v>0</v>
      </c>
      <c r="J24" s="41">
        <f t="shared" ca="1" si="2"/>
        <v>0</v>
      </c>
      <c r="K24" s="41">
        <f t="shared" ca="1" si="2"/>
        <v>0</v>
      </c>
      <c r="L24" s="41">
        <f t="shared" ca="1" si="2"/>
        <v>0</v>
      </c>
      <c r="M24" s="41">
        <f t="shared" ca="1" si="2"/>
        <v>0</v>
      </c>
      <c r="N24" s="41">
        <f t="shared" ca="1" si="2"/>
        <v>0</v>
      </c>
      <c r="O24" s="41">
        <f t="shared" ca="1" si="2"/>
        <v>0</v>
      </c>
      <c r="P24" s="71">
        <f t="shared" ca="1" si="3"/>
        <v>15000</v>
      </c>
    </row>
    <row r="25" spans="1:16">
      <c r="C25" s="70" t="s">
        <v>359</v>
      </c>
      <c r="D25" s="71">
        <f ca="1">SUM(D20:D24)</f>
        <v>129500</v>
      </c>
      <c r="E25" s="71">
        <f t="shared" ref="E25:O25" ca="1" si="4">SUM(E20:E24)</f>
        <v>0</v>
      </c>
      <c r="F25" s="71">
        <f t="shared" ca="1" si="4"/>
        <v>0</v>
      </c>
      <c r="G25" s="71">
        <f t="shared" ca="1" si="4"/>
        <v>0</v>
      </c>
      <c r="H25" s="71">
        <f t="shared" ca="1" si="4"/>
        <v>0</v>
      </c>
      <c r="I25" s="71">
        <f t="shared" ca="1" si="4"/>
        <v>0</v>
      </c>
      <c r="J25" s="71">
        <f t="shared" ca="1" si="4"/>
        <v>0</v>
      </c>
      <c r="K25" s="71">
        <f t="shared" ca="1" si="4"/>
        <v>0</v>
      </c>
      <c r="L25" s="71">
        <f t="shared" ca="1" si="4"/>
        <v>0</v>
      </c>
      <c r="M25" s="71">
        <f t="shared" ca="1" si="4"/>
        <v>0</v>
      </c>
      <c r="N25" s="71">
        <f t="shared" ca="1" si="4"/>
        <v>0</v>
      </c>
      <c r="O25" s="71">
        <f t="shared" ca="1" si="4"/>
        <v>0</v>
      </c>
      <c r="P25" s="71">
        <f t="shared" ca="1" si="3"/>
        <v>129500</v>
      </c>
    </row>
    <row r="27" spans="1:16">
      <c r="C27" t="s">
        <v>358</v>
      </c>
      <c r="D27" s="40">
        <f ca="1">+D16-D25</f>
        <v>0</v>
      </c>
      <c r="E27" s="40">
        <f t="shared" ref="E27:P27" ca="1" si="5">+E16-E25</f>
        <v>0</v>
      </c>
      <c r="F27" s="40">
        <f t="shared" ca="1" si="5"/>
        <v>0</v>
      </c>
      <c r="G27" s="40">
        <f t="shared" ca="1" si="5"/>
        <v>0</v>
      </c>
      <c r="H27" s="40">
        <f t="shared" ca="1" si="5"/>
        <v>0</v>
      </c>
      <c r="I27" s="40">
        <f t="shared" ca="1" si="5"/>
        <v>0</v>
      </c>
      <c r="J27" s="40">
        <f t="shared" ca="1" si="5"/>
        <v>0</v>
      </c>
      <c r="K27" s="40">
        <f t="shared" ca="1" si="5"/>
        <v>0</v>
      </c>
      <c r="L27" s="40">
        <f t="shared" ca="1" si="5"/>
        <v>0</v>
      </c>
      <c r="M27" s="40">
        <f t="shared" ca="1" si="5"/>
        <v>0</v>
      </c>
      <c r="N27" s="40">
        <f t="shared" ca="1" si="5"/>
        <v>0</v>
      </c>
      <c r="O27" s="40">
        <f t="shared" ca="1" si="5"/>
        <v>0</v>
      </c>
      <c r="P27" s="40">
        <f t="shared" ca="1" si="5"/>
        <v>0</v>
      </c>
    </row>
  </sheetData>
  <mergeCells count="13">
    <mergeCell ref="I1:I2"/>
    <mergeCell ref="D1:D2"/>
    <mergeCell ref="E1:E2"/>
    <mergeCell ref="F1:F2"/>
    <mergeCell ref="G1:G2"/>
    <mergeCell ref="H1:H2"/>
    <mergeCell ref="P1:P2"/>
    <mergeCell ref="J1:J2"/>
    <mergeCell ref="K1:K2"/>
    <mergeCell ref="L1:L2"/>
    <mergeCell ref="M1:M2"/>
    <mergeCell ref="N1:N2"/>
    <mergeCell ref="O1:O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546A-957E-44B3-BDDF-D193678AED27}">
  <dimension ref="A1:Q46"/>
  <sheetViews>
    <sheetView showGridLines="0" zoomScale="85" zoomScaleNormal="85" workbookViewId="0">
      <selection activeCell="P14" sqref="P14"/>
    </sheetView>
  </sheetViews>
  <sheetFormatPr baseColWidth="10" defaultColWidth="11.42578125" defaultRowHeight="15"/>
  <cols>
    <col min="2" max="2" width="12.7109375" bestFit="1" customWidth="1"/>
    <col min="4" max="4" width="12.42578125" customWidth="1"/>
    <col min="5" max="16" width="15.7109375" customWidth="1"/>
    <col min="17" max="17" width="17.28515625" customWidth="1"/>
  </cols>
  <sheetData>
    <row r="1" spans="1:17" ht="15.75" thickBot="1"/>
    <row r="2" spans="1:17">
      <c r="F2" s="152" t="s">
        <v>400</v>
      </c>
      <c r="G2" s="153"/>
      <c r="H2" s="153"/>
      <c r="I2" s="153"/>
      <c r="J2" s="153"/>
      <c r="K2" s="153"/>
      <c r="L2" s="153"/>
      <c r="M2" s="153"/>
      <c r="N2" s="153"/>
      <c r="O2" s="154"/>
    </row>
    <row r="3" spans="1:17">
      <c r="F3" s="155"/>
      <c r="G3" s="156"/>
      <c r="H3" s="156"/>
      <c r="I3" s="156"/>
      <c r="J3" s="156"/>
      <c r="K3" s="156"/>
      <c r="L3" s="156"/>
      <c r="M3" s="156"/>
      <c r="N3" s="156"/>
      <c r="O3" s="157"/>
    </row>
    <row r="4" spans="1:17" ht="15.75" thickBot="1">
      <c r="F4" s="158"/>
      <c r="G4" s="159"/>
      <c r="H4" s="159"/>
      <c r="I4" s="159"/>
      <c r="J4" s="159"/>
      <c r="K4" s="159"/>
      <c r="L4" s="159"/>
      <c r="M4" s="159"/>
      <c r="N4" s="159"/>
      <c r="O4" s="160"/>
    </row>
    <row r="6" spans="1:17">
      <c r="E6" s="136" t="s">
        <v>332</v>
      </c>
      <c r="F6" s="136" t="s">
        <v>333</v>
      </c>
      <c r="G6" s="136" t="s">
        <v>334</v>
      </c>
      <c r="H6" s="136" t="s">
        <v>335</v>
      </c>
      <c r="I6" s="136" t="s">
        <v>336</v>
      </c>
      <c r="J6" s="136" t="s">
        <v>337</v>
      </c>
      <c r="K6" s="136" t="s">
        <v>338</v>
      </c>
      <c r="L6" s="136" t="s">
        <v>339</v>
      </c>
      <c r="M6" s="161" t="s">
        <v>340</v>
      </c>
      <c r="N6" s="136" t="s">
        <v>341</v>
      </c>
      <c r="O6" s="136" t="s">
        <v>342</v>
      </c>
      <c r="P6" s="136" t="s">
        <v>343</v>
      </c>
      <c r="Q6" s="136" t="s">
        <v>367</v>
      </c>
    </row>
    <row r="7" spans="1:17">
      <c r="E7" s="137"/>
      <c r="F7" s="137"/>
      <c r="G7" s="137"/>
      <c r="H7" s="137"/>
      <c r="I7" s="137"/>
      <c r="J7" s="137"/>
      <c r="K7" s="137"/>
      <c r="L7" s="137"/>
      <c r="M7" s="162"/>
      <c r="N7" s="137"/>
      <c r="O7" s="137"/>
      <c r="P7" s="137"/>
      <c r="Q7" s="137"/>
    </row>
    <row r="8" spans="1:17">
      <c r="A8" s="148" t="s">
        <v>325</v>
      </c>
      <c r="B8" s="148" t="str">
        <f>VLOOKUP(A8,'Table secteurs'!A:B,2,FALSE)</f>
        <v>dirigeant</v>
      </c>
      <c r="C8" s="61">
        <v>5702</v>
      </c>
      <c r="D8" s="46" t="s">
        <v>352</v>
      </c>
      <c r="E8" s="119">
        <f t="shared" ref="E8:J8" si="0">662.5+4</f>
        <v>666.5</v>
      </c>
      <c r="F8" s="119">
        <f t="shared" si="0"/>
        <v>666.5</v>
      </c>
      <c r="G8" s="119">
        <f t="shared" si="0"/>
        <v>666.5</v>
      </c>
      <c r="H8" s="119">
        <f t="shared" si="0"/>
        <v>666.5</v>
      </c>
      <c r="I8" s="119">
        <f t="shared" si="0"/>
        <v>666.5</v>
      </c>
      <c r="J8" s="119">
        <f t="shared" si="0"/>
        <v>666.5</v>
      </c>
      <c r="K8" s="119">
        <f t="shared" ref="K8:P8" si="1">662.5+4</f>
        <v>666.5</v>
      </c>
      <c r="L8" s="119">
        <f t="shared" si="1"/>
        <v>666.5</v>
      </c>
      <c r="M8" s="119">
        <f t="shared" si="1"/>
        <v>666.5</v>
      </c>
      <c r="N8" s="119">
        <f t="shared" si="1"/>
        <v>666.5</v>
      </c>
      <c r="O8" s="119">
        <f t="shared" si="1"/>
        <v>666.5</v>
      </c>
      <c r="P8" s="119">
        <f t="shared" si="1"/>
        <v>666.5</v>
      </c>
      <c r="Q8" s="88">
        <f>SUM(E8:P8)</f>
        <v>7998</v>
      </c>
    </row>
    <row r="9" spans="1:17">
      <c r="A9" s="149"/>
      <c r="B9" s="149"/>
      <c r="C9" s="61">
        <v>5702</v>
      </c>
      <c r="D9" s="47" t="s">
        <v>353</v>
      </c>
      <c r="E9" s="119">
        <v>135.85</v>
      </c>
      <c r="F9" s="119">
        <v>135.85</v>
      </c>
      <c r="G9" s="119">
        <v>135.85</v>
      </c>
      <c r="H9" s="119">
        <v>135.85</v>
      </c>
      <c r="I9" s="119">
        <v>135.85</v>
      </c>
      <c r="J9" s="119">
        <v>135.85</v>
      </c>
      <c r="K9" s="119">
        <v>135.85</v>
      </c>
      <c r="L9" s="119">
        <v>135.85</v>
      </c>
      <c r="M9" s="119">
        <v>135.85</v>
      </c>
      <c r="N9" s="119">
        <v>135.85</v>
      </c>
      <c r="O9" s="119">
        <v>135.85</v>
      </c>
      <c r="P9" s="119">
        <v>135.85</v>
      </c>
      <c r="Q9" s="88">
        <f t="shared" ref="Q9:Q33" si="2">SUM(E9:P9)</f>
        <v>1630.1999999999996</v>
      </c>
    </row>
    <row r="10" spans="1:17">
      <c r="A10" s="148" t="s">
        <v>326</v>
      </c>
      <c r="B10" s="61" t="str">
        <f>VLOOKUP(A10,'Table secteurs'!A:B,2,FALSE)</f>
        <v>dirigeant</v>
      </c>
      <c r="C10" s="61">
        <v>5702</v>
      </c>
      <c r="D10" s="46" t="s">
        <v>352</v>
      </c>
      <c r="E10" s="119">
        <f>6536.65+39.45</f>
        <v>6576.0999999999995</v>
      </c>
      <c r="F10" s="119">
        <f t="shared" ref="F10:L10" si="3">706.65+4.25</f>
        <v>710.9</v>
      </c>
      <c r="G10" s="119">
        <f t="shared" si="3"/>
        <v>710.9</v>
      </c>
      <c r="H10" s="119">
        <f t="shared" si="3"/>
        <v>710.9</v>
      </c>
      <c r="I10" s="119">
        <f t="shared" si="3"/>
        <v>710.9</v>
      </c>
      <c r="J10" s="119">
        <f t="shared" si="3"/>
        <v>710.9</v>
      </c>
      <c r="K10" s="119">
        <f t="shared" si="3"/>
        <v>710.9</v>
      </c>
      <c r="L10" s="119">
        <f t="shared" si="3"/>
        <v>710.9</v>
      </c>
      <c r="M10" s="119">
        <f>706.65+4.25</f>
        <v>710.9</v>
      </c>
      <c r="N10" s="119">
        <f>706.65+4.25</f>
        <v>710.9</v>
      </c>
      <c r="O10" s="119">
        <f>706.65+4.25</f>
        <v>710.9</v>
      </c>
      <c r="P10" s="119">
        <f>706.65+4.45</f>
        <v>711.1</v>
      </c>
      <c r="Q10" s="88">
        <f t="shared" si="2"/>
        <v>14396.199999999997</v>
      </c>
    </row>
    <row r="11" spans="1:17">
      <c r="A11" s="149"/>
      <c r="B11" s="62"/>
      <c r="C11" s="61">
        <v>5702</v>
      </c>
      <c r="D11" s="47" t="s">
        <v>353</v>
      </c>
      <c r="E11" s="119">
        <v>135.85</v>
      </c>
      <c r="F11" s="119">
        <v>135.85</v>
      </c>
      <c r="G11" s="119">
        <v>135.85</v>
      </c>
      <c r="H11" s="119">
        <v>135.85</v>
      </c>
      <c r="I11" s="119">
        <v>135.85</v>
      </c>
      <c r="J11" s="119">
        <v>135.85</v>
      </c>
      <c r="K11" s="119">
        <v>135.85</v>
      </c>
      <c r="L11" s="119">
        <v>135.85</v>
      </c>
      <c r="M11" s="119">
        <v>135.85</v>
      </c>
      <c r="N11" s="119">
        <v>135.85</v>
      </c>
      <c r="O11" s="119">
        <v>135.85</v>
      </c>
      <c r="P11" s="119">
        <v>135.85</v>
      </c>
      <c r="Q11" s="88">
        <f t="shared" si="2"/>
        <v>1630.1999999999996</v>
      </c>
    </row>
    <row r="12" spans="1:17">
      <c r="A12" s="148" t="s">
        <v>327</v>
      </c>
      <c r="B12" s="61" t="str">
        <f>VLOOKUP(A12,'Table secteurs'!A:B,2,FALSE)</f>
        <v>dirigeant</v>
      </c>
      <c r="C12" s="61">
        <v>5702</v>
      </c>
      <c r="D12" s="46" t="s">
        <v>352</v>
      </c>
      <c r="E12" s="128">
        <v>0</v>
      </c>
      <c r="F12" s="128">
        <v>0</v>
      </c>
      <c r="G12" s="128">
        <v>0</v>
      </c>
      <c r="H12" s="128"/>
      <c r="I12" s="128"/>
      <c r="J12" s="128"/>
      <c r="K12" s="128"/>
      <c r="L12" s="128"/>
      <c r="M12" s="128"/>
      <c r="N12" s="128"/>
      <c r="O12" s="128"/>
      <c r="P12" s="128"/>
      <c r="Q12" s="88">
        <f t="shared" si="2"/>
        <v>0</v>
      </c>
    </row>
    <row r="13" spans="1:17">
      <c r="A13" s="149"/>
      <c r="B13" s="62"/>
      <c r="C13" s="61">
        <v>5702</v>
      </c>
      <c r="D13" s="47" t="s">
        <v>353</v>
      </c>
      <c r="E13" s="128">
        <v>0</v>
      </c>
      <c r="F13" s="128">
        <v>0</v>
      </c>
      <c r="G13" s="128">
        <v>0</v>
      </c>
      <c r="H13" s="128"/>
      <c r="I13" s="128"/>
      <c r="J13" s="128"/>
      <c r="K13" s="128"/>
      <c r="L13" s="128"/>
      <c r="M13" s="128"/>
      <c r="N13" s="128"/>
      <c r="O13" s="128"/>
      <c r="P13" s="128"/>
      <c r="Q13" s="88">
        <f t="shared" si="2"/>
        <v>0</v>
      </c>
    </row>
    <row r="14" spans="1:17">
      <c r="A14" s="146" t="s">
        <v>328</v>
      </c>
      <c r="B14" s="81" t="str">
        <f>VLOOKUP(A14,'Table secteurs'!A:B,2,FALSE)</f>
        <v>technique</v>
      </c>
      <c r="C14" s="81">
        <v>5700</v>
      </c>
      <c r="D14" s="46" t="s">
        <v>352</v>
      </c>
      <c r="E14" s="119">
        <f>534.4+3.25</f>
        <v>537.65</v>
      </c>
      <c r="F14" s="119">
        <f t="shared" ref="F14:M14" si="4">401.9+2.45</f>
        <v>404.34999999999997</v>
      </c>
      <c r="G14" s="119">
        <f t="shared" si="4"/>
        <v>404.34999999999997</v>
      </c>
      <c r="H14" s="119">
        <f t="shared" si="4"/>
        <v>404.34999999999997</v>
      </c>
      <c r="I14" s="119">
        <f t="shared" si="4"/>
        <v>404.34999999999997</v>
      </c>
      <c r="J14" s="119">
        <f t="shared" si="4"/>
        <v>404.34999999999997</v>
      </c>
      <c r="K14" s="119">
        <f t="shared" si="4"/>
        <v>404.34999999999997</v>
      </c>
      <c r="L14" s="119">
        <f t="shared" si="4"/>
        <v>404.34999999999997</v>
      </c>
      <c r="M14" s="119">
        <f t="shared" si="4"/>
        <v>404.34999999999997</v>
      </c>
      <c r="N14" s="119">
        <f>401.9+2.2</f>
        <v>404.09999999999997</v>
      </c>
      <c r="O14" s="119">
        <f>401.9+2.45</f>
        <v>404.34999999999997</v>
      </c>
      <c r="P14" s="119">
        <f>402.1+2.4</f>
        <v>404.5</v>
      </c>
      <c r="Q14" s="88">
        <f t="shared" si="2"/>
        <v>4985.3999999999996</v>
      </c>
    </row>
    <row r="15" spans="1:17">
      <c r="A15" s="147"/>
      <c r="B15" s="82"/>
      <c r="C15" s="81">
        <v>5700</v>
      </c>
      <c r="D15" s="47" t="s">
        <v>353</v>
      </c>
      <c r="E15" s="119">
        <v>110.9</v>
      </c>
      <c r="F15" s="119">
        <v>83.4</v>
      </c>
      <c r="G15" s="119">
        <v>83.4</v>
      </c>
      <c r="H15" s="119">
        <v>83.4</v>
      </c>
      <c r="I15" s="119">
        <v>83.4</v>
      </c>
      <c r="J15" s="119">
        <v>83.4</v>
      </c>
      <c r="K15" s="119">
        <v>83.4</v>
      </c>
      <c r="L15" s="119">
        <v>83.4</v>
      </c>
      <c r="M15" s="119">
        <v>83.4</v>
      </c>
      <c r="N15" s="119">
        <v>83.4</v>
      </c>
      <c r="O15" s="119">
        <v>83.4</v>
      </c>
      <c r="P15" s="119">
        <v>83.6</v>
      </c>
      <c r="Q15" s="88">
        <f t="shared" si="2"/>
        <v>1028.4999999999998</v>
      </c>
    </row>
    <row r="16" spans="1:17">
      <c r="A16" s="150" t="s">
        <v>329</v>
      </c>
      <c r="B16" s="64" t="str">
        <f>VLOOKUP(A16,'Table secteurs'!A:B,2,FALSE)</f>
        <v>office</v>
      </c>
      <c r="C16" s="64">
        <v>5701</v>
      </c>
      <c r="D16" s="46" t="s">
        <v>352</v>
      </c>
      <c r="E16" s="119">
        <f>432.85+2.6</f>
        <v>435.45000000000005</v>
      </c>
      <c r="F16" s="119">
        <f t="shared" ref="F16:N16" si="5">326.85+1.95</f>
        <v>328.8</v>
      </c>
      <c r="G16" s="119">
        <f t="shared" si="5"/>
        <v>328.8</v>
      </c>
      <c r="H16" s="119">
        <f t="shared" si="5"/>
        <v>328.8</v>
      </c>
      <c r="I16" s="119">
        <f t="shared" si="5"/>
        <v>328.8</v>
      </c>
      <c r="J16" s="119">
        <f t="shared" si="5"/>
        <v>328.8</v>
      </c>
      <c r="K16" s="119">
        <f t="shared" si="5"/>
        <v>328.8</v>
      </c>
      <c r="L16" s="119">
        <f t="shared" si="5"/>
        <v>328.8</v>
      </c>
      <c r="M16" s="119">
        <f t="shared" si="5"/>
        <v>328.8</v>
      </c>
      <c r="N16" s="119">
        <f t="shared" si="5"/>
        <v>328.8</v>
      </c>
      <c r="O16" s="119">
        <f>326.85+2.2</f>
        <v>329.05</v>
      </c>
      <c r="P16" s="119">
        <f>326.65+1.95</f>
        <v>328.59999999999997</v>
      </c>
      <c r="Q16" s="88">
        <f t="shared" si="2"/>
        <v>4052.3000000000006</v>
      </c>
    </row>
    <row r="17" spans="1:17">
      <c r="A17" s="151"/>
      <c r="B17" s="80"/>
      <c r="C17" s="64">
        <v>5701</v>
      </c>
      <c r="D17" s="47" t="s">
        <v>353</v>
      </c>
      <c r="E17" s="119">
        <f>89.85</f>
        <v>89.85</v>
      </c>
      <c r="F17" s="119">
        <v>67.849999999999994</v>
      </c>
      <c r="G17" s="119">
        <v>67.849999999999994</v>
      </c>
      <c r="H17" s="119">
        <v>67.849999999999994</v>
      </c>
      <c r="I17" s="119">
        <v>67.849999999999994</v>
      </c>
      <c r="J17" s="119">
        <v>67.849999999999994</v>
      </c>
      <c r="K17" s="119">
        <v>67.849999999999994</v>
      </c>
      <c r="L17" s="119">
        <v>67.849999999999994</v>
      </c>
      <c r="M17" s="119">
        <v>67.849999999999994</v>
      </c>
      <c r="N17" s="119">
        <v>67.849999999999994</v>
      </c>
      <c r="O17" s="119">
        <v>67.849999999999994</v>
      </c>
      <c r="P17" s="119">
        <v>67.650000000000006</v>
      </c>
      <c r="Q17" s="88">
        <f t="shared" si="2"/>
        <v>836.00000000000011</v>
      </c>
    </row>
    <row r="18" spans="1:17">
      <c r="A18" s="144" t="s">
        <v>496</v>
      </c>
      <c r="B18" s="83" t="str">
        <f>VLOOKUP(A18,'Table secteurs'!A:B,2,FALSE)</f>
        <v>technique</v>
      </c>
      <c r="C18" s="83">
        <v>5700</v>
      </c>
      <c r="D18" s="46" t="s">
        <v>352</v>
      </c>
      <c r="E18" s="119">
        <f>76.05+0.45</f>
        <v>76.5</v>
      </c>
      <c r="F18" s="119">
        <f t="shared" ref="F18:J18" si="6">116.6+0.7</f>
        <v>117.3</v>
      </c>
      <c r="G18" s="119">
        <f t="shared" si="6"/>
        <v>117.3</v>
      </c>
      <c r="H18" s="119">
        <f t="shared" si="6"/>
        <v>117.3</v>
      </c>
      <c r="I18" s="119">
        <f t="shared" si="6"/>
        <v>117.3</v>
      </c>
      <c r="J18" s="119">
        <f t="shared" si="6"/>
        <v>117.3</v>
      </c>
      <c r="K18" s="119">
        <f>45.6+0.3</f>
        <v>45.9</v>
      </c>
      <c r="L18" s="128"/>
      <c r="M18" s="128"/>
      <c r="N18" s="128"/>
      <c r="O18" s="128"/>
      <c r="P18" s="128"/>
      <c r="Q18" s="88">
        <f t="shared" si="2"/>
        <v>708.9</v>
      </c>
    </row>
    <row r="19" spans="1:17">
      <c r="A19" s="145"/>
      <c r="B19" s="84"/>
      <c r="C19" s="83">
        <v>5700</v>
      </c>
      <c r="D19" s="47" t="s">
        <v>353</v>
      </c>
      <c r="E19" s="119">
        <v>15.8</v>
      </c>
      <c r="F19" s="119">
        <v>24.2</v>
      </c>
      <c r="G19" s="119">
        <v>24.2</v>
      </c>
      <c r="H19" s="119">
        <v>24.2</v>
      </c>
      <c r="I19" s="119">
        <v>24.2</v>
      </c>
      <c r="J19" s="119">
        <v>24.2</v>
      </c>
      <c r="K19" s="119">
        <v>9.4499999999999993</v>
      </c>
      <c r="L19" s="128"/>
      <c r="M19" s="128"/>
      <c r="N19" s="128"/>
      <c r="O19" s="128"/>
      <c r="P19" s="128"/>
      <c r="Q19" s="88">
        <f t="shared" si="2"/>
        <v>146.25</v>
      </c>
    </row>
    <row r="20" spans="1:17">
      <c r="A20" s="144" t="s">
        <v>330</v>
      </c>
      <c r="B20" s="83" t="str">
        <f>VLOOKUP(A20,'Table secteurs'!A:B,2,FALSE)</f>
        <v>technique</v>
      </c>
      <c r="C20" s="83">
        <v>5700</v>
      </c>
      <c r="D20" s="46" t="s">
        <v>352</v>
      </c>
      <c r="E20" s="119">
        <f>116.6+0.7</f>
        <v>117.3</v>
      </c>
      <c r="F20" s="119">
        <f>116.6+0.7</f>
        <v>117.3</v>
      </c>
      <c r="G20" s="119">
        <f>55.5+0.35</f>
        <v>55.85</v>
      </c>
      <c r="H20" s="128"/>
      <c r="I20" s="128"/>
      <c r="J20" s="128"/>
      <c r="K20" s="128"/>
      <c r="L20" s="128"/>
      <c r="M20" s="128"/>
      <c r="N20" s="128"/>
      <c r="O20" s="128"/>
      <c r="P20" s="128"/>
      <c r="Q20" s="88">
        <f t="shared" si="2"/>
        <v>290.45</v>
      </c>
    </row>
    <row r="21" spans="1:17">
      <c r="A21" s="145"/>
      <c r="B21" s="84"/>
      <c r="C21" s="83">
        <v>5700</v>
      </c>
      <c r="D21" s="47" t="s">
        <v>353</v>
      </c>
      <c r="E21" s="119">
        <v>24.2</v>
      </c>
      <c r="F21" s="119">
        <v>24.2</v>
      </c>
      <c r="G21" s="119">
        <v>11.5</v>
      </c>
      <c r="H21" s="128"/>
      <c r="I21" s="128"/>
      <c r="J21" s="128"/>
      <c r="K21" s="128"/>
      <c r="L21" s="128"/>
      <c r="M21" s="128"/>
      <c r="N21" s="128"/>
      <c r="O21" s="128"/>
      <c r="P21" s="128"/>
      <c r="Q21" s="88">
        <f t="shared" si="2"/>
        <v>59.9</v>
      </c>
    </row>
    <row r="22" spans="1:17">
      <c r="A22" s="144" t="s">
        <v>504</v>
      </c>
      <c r="B22" s="83" t="str">
        <f>VLOOKUP(A22,'Table secteurs'!A:B,2,FALSE)</f>
        <v>technique</v>
      </c>
      <c r="C22" s="83">
        <v>5700</v>
      </c>
      <c r="D22" s="46" t="s">
        <v>352</v>
      </c>
      <c r="E22" s="119">
        <f>9.2+0.05</f>
        <v>9.25</v>
      </c>
      <c r="F22" s="128">
        <v>0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88">
        <f t="shared" si="2"/>
        <v>9.25</v>
      </c>
    </row>
    <row r="23" spans="1:17">
      <c r="A23" s="145"/>
      <c r="B23" s="84"/>
      <c r="C23" s="83">
        <v>5700</v>
      </c>
      <c r="D23" s="47" t="s">
        <v>353</v>
      </c>
      <c r="E23" s="119">
        <f>1.9</f>
        <v>1.9</v>
      </c>
      <c r="F23" s="128">
        <v>0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88">
        <f t="shared" si="2"/>
        <v>1.9</v>
      </c>
    </row>
    <row r="24" spans="1:17">
      <c r="A24" s="144" t="s">
        <v>506</v>
      </c>
      <c r="B24" s="83" t="str">
        <f>VLOOKUP(A24,'Table secteurs'!A:B,2,FALSE)</f>
        <v>technique</v>
      </c>
      <c r="C24" s="83">
        <v>5700</v>
      </c>
      <c r="D24" s="46" t="s">
        <v>352</v>
      </c>
      <c r="E24" s="128">
        <v>0</v>
      </c>
      <c r="F24" s="128">
        <v>0</v>
      </c>
      <c r="G24" s="119">
        <f>61.1+0.35</f>
        <v>61.45</v>
      </c>
      <c r="H24" s="119">
        <f>116.6+0.7</f>
        <v>117.3</v>
      </c>
      <c r="I24" s="119">
        <f>116.6+0.7</f>
        <v>117.3</v>
      </c>
      <c r="J24" s="119">
        <f>27.75+0.2</f>
        <v>27.95</v>
      </c>
      <c r="K24" s="128"/>
      <c r="L24" s="128"/>
      <c r="M24" s="128"/>
      <c r="N24" s="128"/>
      <c r="O24" s="128"/>
      <c r="P24" s="128"/>
      <c r="Q24" s="88">
        <f t="shared" si="2"/>
        <v>324</v>
      </c>
    </row>
    <row r="25" spans="1:17">
      <c r="A25" s="145"/>
      <c r="B25" s="84"/>
      <c r="C25" s="83">
        <v>5700</v>
      </c>
      <c r="D25" s="47" t="s">
        <v>353</v>
      </c>
      <c r="E25" s="128">
        <v>0</v>
      </c>
      <c r="F25" s="128">
        <v>0</v>
      </c>
      <c r="G25" s="119">
        <v>12.7</v>
      </c>
      <c r="H25" s="119">
        <v>24.2</v>
      </c>
      <c r="I25" s="119">
        <v>24.2</v>
      </c>
      <c r="J25" s="119">
        <f>5.75</f>
        <v>5.75</v>
      </c>
      <c r="K25" s="128"/>
      <c r="L25" s="128"/>
      <c r="M25" s="128"/>
      <c r="N25" s="128"/>
      <c r="O25" s="128"/>
      <c r="P25" s="128"/>
      <c r="Q25" s="88">
        <f t="shared" si="2"/>
        <v>66.849999999999994</v>
      </c>
    </row>
    <row r="26" spans="1:17">
      <c r="A26" s="144" t="s">
        <v>509</v>
      </c>
      <c r="B26" s="83" t="str">
        <f>VLOOKUP(A26,'Table secteurs'!A:B,2,FALSE)</f>
        <v>technique</v>
      </c>
      <c r="C26" s="83">
        <v>5700</v>
      </c>
      <c r="D26" s="46" t="s">
        <v>352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f>61.1+0.35</f>
        <v>61.45</v>
      </c>
      <c r="K26" s="119">
        <f>116.6+0.7</f>
        <v>117.3</v>
      </c>
      <c r="L26" s="119">
        <f>116.6+0.7</f>
        <v>117.3</v>
      </c>
      <c r="M26" s="119">
        <f>116.6+0.7</f>
        <v>117.3</v>
      </c>
      <c r="N26" s="119">
        <f>116.6+0.7</f>
        <v>117.3</v>
      </c>
      <c r="O26" s="119">
        <f>116.6+0.7</f>
        <v>117.3</v>
      </c>
      <c r="P26" s="119">
        <f>50.65+0.35</f>
        <v>51</v>
      </c>
      <c r="Q26" s="88">
        <f t="shared" si="2"/>
        <v>698.94999999999993</v>
      </c>
    </row>
    <row r="27" spans="1:17">
      <c r="A27" s="145"/>
      <c r="B27" s="84"/>
      <c r="C27" s="83">
        <v>5700</v>
      </c>
      <c r="D27" s="47" t="s">
        <v>353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f>12.7</f>
        <v>12.7</v>
      </c>
      <c r="K27" s="119">
        <v>24.2</v>
      </c>
      <c r="L27" s="119">
        <v>24.2</v>
      </c>
      <c r="M27" s="119">
        <v>24.2</v>
      </c>
      <c r="N27" s="119">
        <v>24.2</v>
      </c>
      <c r="O27" s="119">
        <v>24.2</v>
      </c>
      <c r="P27" s="119">
        <v>10.5</v>
      </c>
      <c r="Q27" s="88">
        <f t="shared" si="2"/>
        <v>144.19999999999999</v>
      </c>
    </row>
    <row r="28" spans="1:17">
      <c r="A28" s="146" t="s">
        <v>511</v>
      </c>
      <c r="B28" s="81" t="str">
        <f>VLOOKUP(A28,'Table secteurs'!A:B,2,FALSE)</f>
        <v>technique</v>
      </c>
      <c r="C28" s="81">
        <v>5700</v>
      </c>
      <c r="D28" s="46" t="s">
        <v>352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0</v>
      </c>
      <c r="M28" s="119">
        <f>109.6+0.65</f>
        <v>110.25</v>
      </c>
      <c r="N28" s="119">
        <f>344.5+2.1</f>
        <v>346.6</v>
      </c>
      <c r="O28" s="119">
        <f>344.5+2.1</f>
        <v>346.6</v>
      </c>
      <c r="P28" s="119">
        <f>344.5+2.05</f>
        <v>346.55</v>
      </c>
      <c r="Q28" s="88">
        <f t="shared" si="2"/>
        <v>1150</v>
      </c>
    </row>
    <row r="29" spans="1:17">
      <c r="A29" s="147"/>
      <c r="B29" s="82"/>
      <c r="C29" s="81">
        <v>5700</v>
      </c>
      <c r="D29" s="47" t="s">
        <v>353</v>
      </c>
      <c r="E29" s="128">
        <v>0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19">
        <v>22.75</v>
      </c>
      <c r="N29" s="119">
        <v>71.5</v>
      </c>
      <c r="O29" s="119">
        <v>71.5</v>
      </c>
      <c r="P29" s="119">
        <v>71.5</v>
      </c>
      <c r="Q29" s="88">
        <f t="shared" si="2"/>
        <v>237.25</v>
      </c>
    </row>
    <row r="30" spans="1:17">
      <c r="A30" s="140" t="s">
        <v>508</v>
      </c>
      <c r="B30" s="65" t="str">
        <f>VLOOKUP(A30,'Table secteurs'!A:B,2,FALSE)</f>
        <v>informatique</v>
      </c>
      <c r="C30" s="65">
        <v>5703</v>
      </c>
      <c r="D30" s="46" t="s">
        <v>352</v>
      </c>
      <c r="E30" s="128">
        <v>0</v>
      </c>
      <c r="F30" s="128">
        <v>0</v>
      </c>
      <c r="G30" s="128">
        <v>0</v>
      </c>
      <c r="H30" s="128">
        <v>0</v>
      </c>
      <c r="I30" s="128">
        <v>0</v>
      </c>
      <c r="J30" s="119">
        <f t="shared" ref="J30:O30" si="7">441.65+2.65</f>
        <v>444.29999999999995</v>
      </c>
      <c r="K30" s="119">
        <f t="shared" si="7"/>
        <v>444.29999999999995</v>
      </c>
      <c r="L30" s="119">
        <f t="shared" si="7"/>
        <v>444.29999999999995</v>
      </c>
      <c r="M30" s="119">
        <f t="shared" si="7"/>
        <v>444.29999999999995</v>
      </c>
      <c r="N30" s="119">
        <f t="shared" si="7"/>
        <v>444.29999999999995</v>
      </c>
      <c r="O30" s="119">
        <f t="shared" si="7"/>
        <v>444.29999999999995</v>
      </c>
      <c r="P30" s="119">
        <f>441.75+2.75</f>
        <v>444.5</v>
      </c>
      <c r="Q30" s="88">
        <f t="shared" si="2"/>
        <v>3110.3</v>
      </c>
    </row>
    <row r="31" spans="1:17">
      <c r="A31" s="141"/>
      <c r="B31" s="79"/>
      <c r="C31" s="22">
        <v>5703</v>
      </c>
      <c r="D31" s="47" t="s">
        <v>353</v>
      </c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19">
        <v>91.65</v>
      </c>
      <c r="K31" s="119">
        <v>91.65</v>
      </c>
      <c r="L31" s="119">
        <v>91.65</v>
      </c>
      <c r="M31" s="119">
        <v>91.65</v>
      </c>
      <c r="N31" s="119">
        <v>91.65</v>
      </c>
      <c r="O31" s="119">
        <v>91.65</v>
      </c>
      <c r="P31" s="119">
        <v>91.75</v>
      </c>
      <c r="Q31" s="88">
        <f t="shared" si="2"/>
        <v>641.65</v>
      </c>
    </row>
    <row r="32" spans="1:17">
      <c r="A32" s="140" t="s">
        <v>331</v>
      </c>
      <c r="B32" s="65" t="str">
        <f>VLOOKUP(A32,'Table secteurs'!A:B,2,FALSE)</f>
        <v>informatique</v>
      </c>
      <c r="C32" s="65">
        <v>5703</v>
      </c>
      <c r="D32" s="46" t="s">
        <v>352</v>
      </c>
      <c r="E32" s="119">
        <f>1325+8</f>
        <v>1333</v>
      </c>
      <c r="F32" s="119">
        <f t="shared" ref="F32:K32" si="8">530+3.2</f>
        <v>533.20000000000005</v>
      </c>
      <c r="G32" s="119">
        <f t="shared" si="8"/>
        <v>533.20000000000005</v>
      </c>
      <c r="H32" s="119">
        <f t="shared" si="8"/>
        <v>533.20000000000005</v>
      </c>
      <c r="I32" s="119">
        <f t="shared" si="8"/>
        <v>533.20000000000005</v>
      </c>
      <c r="J32" s="119">
        <f t="shared" si="8"/>
        <v>533.20000000000005</v>
      </c>
      <c r="K32" s="119">
        <f t="shared" si="8"/>
        <v>533.20000000000005</v>
      </c>
      <c r="L32" s="128">
        <v>0</v>
      </c>
      <c r="M32" s="128"/>
      <c r="N32" s="128"/>
      <c r="O32" s="128"/>
      <c r="P32" s="128"/>
      <c r="Q32" s="88">
        <f t="shared" si="2"/>
        <v>4532.2</v>
      </c>
    </row>
    <row r="33" spans="1:17">
      <c r="A33" s="141"/>
      <c r="B33" s="79"/>
      <c r="C33" s="22">
        <v>5703</v>
      </c>
      <c r="D33" s="47" t="s">
        <v>353</v>
      </c>
      <c r="E33" s="119">
        <v>135.85</v>
      </c>
      <c r="F33" s="119">
        <v>135.85</v>
      </c>
      <c r="G33" s="119">
        <v>135.85</v>
      </c>
      <c r="H33" s="119">
        <v>135.85</v>
      </c>
      <c r="I33" s="119">
        <v>135.85</v>
      </c>
      <c r="J33" s="119">
        <v>135.85</v>
      </c>
      <c r="K33" s="119">
        <v>119.9</v>
      </c>
      <c r="L33" s="128">
        <v>0</v>
      </c>
      <c r="M33" s="128"/>
      <c r="N33" s="128"/>
      <c r="O33" s="128"/>
      <c r="P33" s="128"/>
      <c r="Q33" s="88">
        <f t="shared" si="2"/>
        <v>935</v>
      </c>
    </row>
    <row r="34" spans="1:17" ht="15.75" thickBot="1"/>
    <row r="35" spans="1:17">
      <c r="A35" s="142" t="s">
        <v>354</v>
      </c>
      <c r="B35" s="86"/>
      <c r="C35" s="86"/>
      <c r="D35" s="99" t="s">
        <v>352</v>
      </c>
      <c r="E35" s="48">
        <f ca="1">SUMIF($D$8:$P$33,$D35,E8:E33)</f>
        <v>9751.7499999999982</v>
      </c>
      <c r="F35" s="48">
        <f t="shared" ref="F35:Q35" ca="1" si="9">SUMIF($D$8:$P$33,$D35,F8:F33)</f>
        <v>2878.3500000000004</v>
      </c>
      <c r="G35" s="48">
        <f t="shared" ca="1" si="9"/>
        <v>2878.3500000000004</v>
      </c>
      <c r="H35" s="48">
        <f t="shared" ca="1" si="9"/>
        <v>2878.3500000000004</v>
      </c>
      <c r="I35" s="48">
        <f t="shared" ca="1" si="9"/>
        <v>2878.3500000000004</v>
      </c>
      <c r="J35" s="48">
        <f ca="1">SUMIF($D$8:$P$33,$D35,J8:J33)</f>
        <v>3294.75</v>
      </c>
      <c r="K35" s="48">
        <f t="shared" ca="1" si="9"/>
        <v>3251.25</v>
      </c>
      <c r="L35" s="48">
        <f t="shared" ca="1" si="9"/>
        <v>2672.1500000000005</v>
      </c>
      <c r="M35" s="48">
        <f ca="1">SUMIF($D$8:$P$33,$D35,M8:M33)</f>
        <v>2782.4000000000005</v>
      </c>
      <c r="N35" s="48">
        <f ca="1">SUMIF($D$8:$P$33,$D35,N8:N33)</f>
        <v>3018.5</v>
      </c>
      <c r="O35" s="48">
        <f t="shared" ca="1" si="9"/>
        <v>3019</v>
      </c>
      <c r="P35" s="49">
        <f t="shared" ca="1" si="9"/>
        <v>2952.75</v>
      </c>
      <c r="Q35" s="89">
        <f t="shared" ca="1" si="9"/>
        <v>42255.95</v>
      </c>
    </row>
    <row r="36" spans="1:17" ht="15.75" thickBot="1">
      <c r="A36" s="143"/>
      <c r="B36" s="87"/>
      <c r="C36" s="87"/>
      <c r="D36" s="100" t="s">
        <v>353</v>
      </c>
      <c r="E36" s="50">
        <f t="shared" ref="E36:Q36" ca="1" si="10">SUMIF($D$8:$P$33,$D36,E8:E33)</f>
        <v>650.20000000000005</v>
      </c>
      <c r="F36" s="50">
        <f t="shared" ca="1" si="10"/>
        <v>607.20000000000005</v>
      </c>
      <c r="G36" s="50">
        <f t="shared" ca="1" si="10"/>
        <v>607.20000000000005</v>
      </c>
      <c r="H36" s="50">
        <f t="shared" ca="1" si="10"/>
        <v>607.20000000000005</v>
      </c>
      <c r="I36" s="50">
        <f t="shared" ca="1" si="10"/>
        <v>607.20000000000005</v>
      </c>
      <c r="J36" s="50">
        <f ca="1">SUMIF($D$8:$P$33,$D36,J8:J33)</f>
        <v>693.1</v>
      </c>
      <c r="K36" s="50">
        <f t="shared" ca="1" si="10"/>
        <v>668.15</v>
      </c>
      <c r="L36" s="50">
        <f t="shared" ca="1" si="10"/>
        <v>538.80000000000007</v>
      </c>
      <c r="M36" s="50">
        <f t="shared" ca="1" si="10"/>
        <v>561.55000000000007</v>
      </c>
      <c r="N36" s="50">
        <f ca="1">SUMIF($D$8:$P$33,$D36,N8:N33)</f>
        <v>610.30000000000007</v>
      </c>
      <c r="O36" s="50">
        <f t="shared" ca="1" si="10"/>
        <v>610.30000000000007</v>
      </c>
      <c r="P36" s="51">
        <f t="shared" ca="1" si="10"/>
        <v>596.69999999999993</v>
      </c>
      <c r="Q36" s="90">
        <f t="shared" ca="1" si="10"/>
        <v>7357.8999999999978</v>
      </c>
    </row>
    <row r="37" spans="1:17" ht="15.75">
      <c r="D37" s="53" t="s">
        <v>359</v>
      </c>
      <c r="E37" s="52">
        <f ca="1">SUM(E35:E36)</f>
        <v>10401.949999999999</v>
      </c>
      <c r="F37" s="52">
        <f t="shared" ref="F37:P37" ca="1" si="11">SUM(F35:F36)</f>
        <v>3485.55</v>
      </c>
      <c r="G37" s="52">
        <f t="shared" ca="1" si="11"/>
        <v>3485.55</v>
      </c>
      <c r="H37" s="52">
        <f t="shared" ca="1" si="11"/>
        <v>3485.55</v>
      </c>
      <c r="I37" s="52">
        <f t="shared" ca="1" si="11"/>
        <v>3485.55</v>
      </c>
      <c r="J37" s="52">
        <f t="shared" ca="1" si="11"/>
        <v>3987.85</v>
      </c>
      <c r="K37" s="52">
        <f t="shared" ca="1" si="11"/>
        <v>3919.4</v>
      </c>
      <c r="L37" s="52">
        <f ca="1">SUM(L35:L36)</f>
        <v>3210.9500000000007</v>
      </c>
      <c r="M37" s="52">
        <f t="shared" ca="1" si="11"/>
        <v>3343.9500000000007</v>
      </c>
      <c r="N37" s="52">
        <f ca="1">SUM(N35:N36)</f>
        <v>3628.8</v>
      </c>
      <c r="O37" s="52">
        <f t="shared" ca="1" si="11"/>
        <v>3629.3</v>
      </c>
      <c r="P37" s="52">
        <f t="shared" ca="1" si="11"/>
        <v>3549.45</v>
      </c>
      <c r="Q37" s="52">
        <f t="shared" ref="Q37" ca="1" si="12">SUM(Q35:Q36)</f>
        <v>49613.849999999991</v>
      </c>
    </row>
    <row r="38" spans="1:17" ht="15.75" thickBot="1"/>
    <row r="39" spans="1:17">
      <c r="D39" s="91" t="s">
        <v>366</v>
      </c>
      <c r="E39" s="48">
        <f ca="1">+E35</f>
        <v>9751.7499999999982</v>
      </c>
      <c r="F39" s="48">
        <f t="shared" ref="F39:P39" ca="1" si="13">+F35</f>
        <v>2878.3500000000004</v>
      </c>
      <c r="G39" s="48">
        <f t="shared" ca="1" si="13"/>
        <v>2878.3500000000004</v>
      </c>
      <c r="H39" s="48">
        <f t="shared" ca="1" si="13"/>
        <v>2878.3500000000004</v>
      </c>
      <c r="I39" s="48">
        <f t="shared" ca="1" si="13"/>
        <v>2878.3500000000004</v>
      </c>
      <c r="J39" s="48">
        <f t="shared" ca="1" si="13"/>
        <v>3294.75</v>
      </c>
      <c r="K39" s="48">
        <f t="shared" ca="1" si="13"/>
        <v>3251.25</v>
      </c>
      <c r="L39" s="48">
        <f t="shared" ca="1" si="13"/>
        <v>2672.1500000000005</v>
      </c>
      <c r="M39" s="48">
        <f ca="1">+M35</f>
        <v>2782.4000000000005</v>
      </c>
      <c r="N39" s="48">
        <f t="shared" ca="1" si="13"/>
        <v>3018.5</v>
      </c>
      <c r="O39" s="48">
        <f t="shared" ca="1" si="13"/>
        <v>3019</v>
      </c>
      <c r="P39" s="48">
        <f t="shared" ca="1" si="13"/>
        <v>2952.75</v>
      </c>
      <c r="Q39" s="96">
        <f ca="1">+P39</f>
        <v>2952.75</v>
      </c>
    </row>
    <row r="40" spans="1:17">
      <c r="D40" s="92" t="s">
        <v>365</v>
      </c>
      <c r="E40" s="85">
        <f ca="1">+E36</f>
        <v>650.20000000000005</v>
      </c>
      <c r="F40" s="85">
        <f t="shared" ref="F40:P40" ca="1" si="14">+F36</f>
        <v>607.20000000000005</v>
      </c>
      <c r="G40" s="85">
        <f t="shared" ca="1" si="14"/>
        <v>607.20000000000005</v>
      </c>
      <c r="H40" s="85">
        <f t="shared" ca="1" si="14"/>
        <v>607.20000000000005</v>
      </c>
      <c r="I40" s="85">
        <f t="shared" ca="1" si="14"/>
        <v>607.20000000000005</v>
      </c>
      <c r="J40" s="85">
        <f t="shared" ca="1" si="14"/>
        <v>693.1</v>
      </c>
      <c r="K40" s="85">
        <f t="shared" ca="1" si="14"/>
        <v>668.15</v>
      </c>
      <c r="L40" s="85">
        <f t="shared" ca="1" si="14"/>
        <v>538.80000000000007</v>
      </c>
      <c r="M40" s="85">
        <f t="shared" ca="1" si="14"/>
        <v>561.55000000000007</v>
      </c>
      <c r="N40" s="85">
        <f t="shared" ca="1" si="14"/>
        <v>610.30000000000007</v>
      </c>
      <c r="O40" s="85">
        <f t="shared" ca="1" si="14"/>
        <v>610.30000000000007</v>
      </c>
      <c r="P40" s="85">
        <f t="shared" ca="1" si="14"/>
        <v>596.69999999999993</v>
      </c>
      <c r="Q40" s="97">
        <f ca="1">+P40</f>
        <v>596.69999999999993</v>
      </c>
    </row>
    <row r="41" spans="1:17" ht="16.5" thickBot="1">
      <c r="D41" s="93">
        <v>2271</v>
      </c>
      <c r="E41" s="94">
        <f ca="1">+E39+E40</f>
        <v>10401.949999999999</v>
      </c>
      <c r="F41" s="94">
        <f t="shared" ref="F41:Q41" ca="1" si="15">+F39+F40</f>
        <v>3485.55</v>
      </c>
      <c r="G41" s="94">
        <f t="shared" ca="1" si="15"/>
        <v>3485.55</v>
      </c>
      <c r="H41" s="94">
        <f t="shared" ca="1" si="15"/>
        <v>3485.55</v>
      </c>
      <c r="I41" s="94">
        <f t="shared" ca="1" si="15"/>
        <v>3485.55</v>
      </c>
      <c r="J41" s="94">
        <f t="shared" ca="1" si="15"/>
        <v>3987.85</v>
      </c>
      <c r="K41" s="94">
        <f t="shared" ca="1" si="15"/>
        <v>3919.4</v>
      </c>
      <c r="L41" s="94">
        <f t="shared" ca="1" si="15"/>
        <v>3210.9500000000007</v>
      </c>
      <c r="M41" s="94">
        <f t="shared" ca="1" si="15"/>
        <v>3343.9500000000007</v>
      </c>
      <c r="N41" s="94">
        <f ca="1">+N39+N40</f>
        <v>3628.8</v>
      </c>
      <c r="O41" s="94">
        <f t="shared" ca="1" si="15"/>
        <v>3629.3</v>
      </c>
      <c r="P41" s="95">
        <f t="shared" ca="1" si="15"/>
        <v>3549.45</v>
      </c>
      <c r="Q41" s="98">
        <f t="shared" ca="1" si="15"/>
        <v>3549.45</v>
      </c>
    </row>
    <row r="43" spans="1:17" ht="15.75" thickBot="1"/>
    <row r="44" spans="1:17">
      <c r="D44" s="91" t="s">
        <v>366</v>
      </c>
      <c r="E44" s="48">
        <f ca="1">+E35</f>
        <v>9751.7499999999982</v>
      </c>
      <c r="F44" s="48">
        <f ca="1">+F35+E44</f>
        <v>12630.099999999999</v>
      </c>
      <c r="G44" s="48">
        <f t="shared" ref="G44:P44" ca="1" si="16">+G35+F44</f>
        <v>15508.449999999999</v>
      </c>
      <c r="H44" s="48">
        <f t="shared" ca="1" si="16"/>
        <v>18386.8</v>
      </c>
      <c r="I44" s="48">
        <f t="shared" ca="1" si="16"/>
        <v>21265.15</v>
      </c>
      <c r="J44" s="48">
        <f t="shared" ca="1" si="16"/>
        <v>24559.9</v>
      </c>
      <c r="K44" s="48">
        <f t="shared" ca="1" si="16"/>
        <v>27811.15</v>
      </c>
      <c r="L44" s="48">
        <f t="shared" ca="1" si="16"/>
        <v>30483.300000000003</v>
      </c>
      <c r="M44" s="48">
        <f t="shared" ca="1" si="16"/>
        <v>33265.700000000004</v>
      </c>
      <c r="N44" s="48">
        <f t="shared" ca="1" si="16"/>
        <v>36284.200000000004</v>
      </c>
      <c r="O44" s="48">
        <f t="shared" ca="1" si="16"/>
        <v>39303.200000000004</v>
      </c>
      <c r="P44" s="48">
        <f t="shared" ca="1" si="16"/>
        <v>42255.950000000004</v>
      </c>
      <c r="Q44" s="96">
        <f ca="1">+P44</f>
        <v>42255.950000000004</v>
      </c>
    </row>
    <row r="45" spans="1:17">
      <c r="D45" s="92" t="s">
        <v>365</v>
      </c>
      <c r="E45" s="85">
        <f ca="1">+E36</f>
        <v>650.20000000000005</v>
      </c>
      <c r="F45" s="85">
        <f ca="1">+F36+E45</f>
        <v>1257.4000000000001</v>
      </c>
      <c r="G45" s="85">
        <f t="shared" ref="G45:P45" ca="1" si="17">+G36+F45</f>
        <v>1864.6000000000001</v>
      </c>
      <c r="H45" s="85">
        <f t="shared" ca="1" si="17"/>
        <v>2471.8000000000002</v>
      </c>
      <c r="I45" s="85">
        <f t="shared" ca="1" si="17"/>
        <v>3079</v>
      </c>
      <c r="J45" s="85">
        <f t="shared" ca="1" si="17"/>
        <v>3772.1</v>
      </c>
      <c r="K45" s="85">
        <f t="shared" ca="1" si="17"/>
        <v>4440.25</v>
      </c>
      <c r="L45" s="85">
        <f t="shared" ca="1" si="17"/>
        <v>4979.05</v>
      </c>
      <c r="M45" s="85">
        <f t="shared" ca="1" si="17"/>
        <v>5540.6</v>
      </c>
      <c r="N45" s="85">
        <f t="shared" ca="1" si="17"/>
        <v>6150.9000000000005</v>
      </c>
      <c r="O45" s="85">
        <f t="shared" ca="1" si="17"/>
        <v>6761.2000000000007</v>
      </c>
      <c r="P45" s="85">
        <f t="shared" ca="1" si="17"/>
        <v>7357.9000000000005</v>
      </c>
      <c r="Q45" s="97">
        <f ca="1">+P45</f>
        <v>7357.9000000000005</v>
      </c>
    </row>
    <row r="46" spans="1:17" ht="16.5" thickBot="1">
      <c r="D46" s="93">
        <v>2271</v>
      </c>
      <c r="E46" s="94">
        <f ca="1">+E44+E45</f>
        <v>10401.949999999999</v>
      </c>
      <c r="F46" s="94">
        <f t="shared" ref="F46:Q46" ca="1" si="18">+F44+F45</f>
        <v>13887.499999999998</v>
      </c>
      <c r="G46" s="94">
        <f t="shared" ca="1" si="18"/>
        <v>17373.05</v>
      </c>
      <c r="H46" s="94">
        <f t="shared" ca="1" si="18"/>
        <v>20858.599999999999</v>
      </c>
      <c r="I46" s="94">
        <f t="shared" ca="1" si="18"/>
        <v>24344.15</v>
      </c>
      <c r="J46" s="94">
        <f t="shared" ca="1" si="18"/>
        <v>28332</v>
      </c>
      <c r="K46" s="94">
        <f t="shared" ca="1" si="18"/>
        <v>32251.4</v>
      </c>
      <c r="L46" s="94">
        <f t="shared" ca="1" si="18"/>
        <v>35462.350000000006</v>
      </c>
      <c r="M46" s="94">
        <f t="shared" ca="1" si="18"/>
        <v>38806.300000000003</v>
      </c>
      <c r="N46" s="94">
        <f t="shared" ca="1" si="18"/>
        <v>42435.100000000006</v>
      </c>
      <c r="O46" s="94">
        <f t="shared" ca="1" si="18"/>
        <v>46064.400000000009</v>
      </c>
      <c r="P46" s="95">
        <f t="shared" ca="1" si="18"/>
        <v>49613.850000000006</v>
      </c>
      <c r="Q46" s="98">
        <f t="shared" ca="1" si="18"/>
        <v>49613.850000000006</v>
      </c>
    </row>
  </sheetData>
  <mergeCells count="29">
    <mergeCell ref="Q6:Q7"/>
    <mergeCell ref="F2:O4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18:A19"/>
    <mergeCell ref="N6:N7"/>
    <mergeCell ref="O6:O7"/>
    <mergeCell ref="P6:P7"/>
    <mergeCell ref="A8:A9"/>
    <mergeCell ref="A10:A11"/>
    <mergeCell ref="A12:A13"/>
    <mergeCell ref="A14:A15"/>
    <mergeCell ref="A16:A17"/>
    <mergeCell ref="B8:B9"/>
    <mergeCell ref="A32:A33"/>
    <mergeCell ref="A35:A36"/>
    <mergeCell ref="A20:A21"/>
    <mergeCell ref="A22:A23"/>
    <mergeCell ref="A24:A25"/>
    <mergeCell ref="A26:A27"/>
    <mergeCell ref="A28:A29"/>
    <mergeCell ref="A30:A31"/>
  </mergeCells>
  <phoneticPr fontId="2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7CB6-521A-4083-B139-97A0E905D8EE}">
  <dimension ref="A1:P36"/>
  <sheetViews>
    <sheetView showGridLines="0" zoomScale="85" zoomScaleNormal="85" workbookViewId="0">
      <selection activeCell="O11" sqref="O11"/>
    </sheetView>
  </sheetViews>
  <sheetFormatPr baseColWidth="10" defaultColWidth="11.42578125" defaultRowHeight="15"/>
  <cols>
    <col min="2" max="2" width="12.7109375" bestFit="1" customWidth="1"/>
    <col min="4" max="15" width="15.7109375" customWidth="1"/>
    <col min="16" max="16" width="17.28515625" customWidth="1"/>
  </cols>
  <sheetData>
    <row r="1" spans="1:16" ht="15.75" thickBot="1"/>
    <row r="2" spans="1:16">
      <c r="E2" s="152" t="s">
        <v>399</v>
      </c>
      <c r="F2" s="153"/>
      <c r="G2" s="153"/>
      <c r="H2" s="153"/>
      <c r="I2" s="153"/>
      <c r="J2" s="153"/>
      <c r="K2" s="153"/>
      <c r="L2" s="153"/>
      <c r="M2" s="153"/>
      <c r="N2" s="154"/>
    </row>
    <row r="3" spans="1:16">
      <c r="E3" s="155"/>
      <c r="F3" s="156"/>
      <c r="G3" s="156"/>
      <c r="H3" s="156"/>
      <c r="I3" s="156"/>
      <c r="J3" s="156"/>
      <c r="K3" s="156"/>
      <c r="L3" s="156"/>
      <c r="M3" s="156"/>
      <c r="N3" s="157"/>
    </row>
    <row r="4" spans="1:16" ht="15.75" thickBot="1">
      <c r="E4" s="158"/>
      <c r="F4" s="159"/>
      <c r="G4" s="159"/>
      <c r="H4" s="159"/>
      <c r="I4" s="159"/>
      <c r="J4" s="159"/>
      <c r="K4" s="159"/>
      <c r="L4" s="159"/>
      <c r="M4" s="159"/>
      <c r="N4" s="160"/>
    </row>
    <row r="6" spans="1:16">
      <c r="D6" s="165" t="s">
        <v>332</v>
      </c>
      <c r="E6" s="165" t="s">
        <v>333</v>
      </c>
      <c r="F6" s="165" t="s">
        <v>334</v>
      </c>
      <c r="G6" s="165" t="s">
        <v>335</v>
      </c>
      <c r="H6" s="165" t="s">
        <v>336</v>
      </c>
      <c r="I6" s="165" t="s">
        <v>337</v>
      </c>
      <c r="J6" s="165" t="s">
        <v>338</v>
      </c>
      <c r="K6" s="165" t="s">
        <v>339</v>
      </c>
      <c r="L6" s="163" t="s">
        <v>340</v>
      </c>
      <c r="M6" s="163" t="s">
        <v>341</v>
      </c>
      <c r="N6" s="165" t="s">
        <v>342</v>
      </c>
      <c r="O6" s="165" t="s">
        <v>343</v>
      </c>
      <c r="P6" s="165" t="s">
        <v>367</v>
      </c>
    </row>
    <row r="7" spans="1:16">
      <c r="D7" s="166"/>
      <c r="E7" s="166"/>
      <c r="F7" s="166"/>
      <c r="G7" s="166"/>
      <c r="H7" s="166"/>
      <c r="I7" s="166"/>
      <c r="J7" s="166"/>
      <c r="K7" s="166"/>
      <c r="L7" s="164"/>
      <c r="M7" s="164"/>
      <c r="N7" s="166"/>
      <c r="O7" s="166"/>
      <c r="P7" s="166"/>
    </row>
    <row r="8" spans="1:16">
      <c r="A8" s="61" t="s">
        <v>325</v>
      </c>
      <c r="B8" s="63" t="str">
        <f>VLOOKUP(A8,'Table secteurs'!A:B,2,FALSE)</f>
        <v>dirigeant</v>
      </c>
      <c r="C8" s="61">
        <v>5702</v>
      </c>
      <c r="D8" s="119">
        <f t="shared" ref="D8:K8" si="0">662.5+135.85+4+8.75+10.25+25+281.25</f>
        <v>1127.5999999999999</v>
      </c>
      <c r="E8" s="119">
        <f t="shared" si="0"/>
        <v>1127.5999999999999</v>
      </c>
      <c r="F8" s="119">
        <f t="shared" si="0"/>
        <v>1127.5999999999999</v>
      </c>
      <c r="G8" s="119">
        <f t="shared" si="0"/>
        <v>1127.5999999999999</v>
      </c>
      <c r="H8" s="119">
        <f t="shared" si="0"/>
        <v>1127.5999999999999</v>
      </c>
      <c r="I8" s="119">
        <f t="shared" si="0"/>
        <v>1127.5999999999999</v>
      </c>
      <c r="J8" s="119">
        <f t="shared" si="0"/>
        <v>1127.5999999999999</v>
      </c>
      <c r="K8" s="119">
        <f t="shared" si="0"/>
        <v>1127.5999999999999</v>
      </c>
      <c r="L8" s="119">
        <f>662.5+135.85+4+8.75+10.25+25+281.25</f>
        <v>1127.5999999999999</v>
      </c>
      <c r="M8" s="119">
        <f>662.5+135.85+4+8.75+10.25+25+281.25</f>
        <v>1127.5999999999999</v>
      </c>
      <c r="N8" s="119">
        <f>662.5+135.85+4+8.75+10.25+25+281.25</f>
        <v>1127.5999999999999</v>
      </c>
      <c r="O8" s="119">
        <f>662.5+135.85+4+8.75+10.25+25+281.25</f>
        <v>1127.5999999999999</v>
      </c>
      <c r="P8" s="88">
        <f>SUM(D8:O8)</f>
        <v>13531.200000000003</v>
      </c>
    </row>
    <row r="9" spans="1:16">
      <c r="A9" s="61" t="s">
        <v>326</v>
      </c>
      <c r="B9" s="61" t="str">
        <f>VLOOKUP(A9,'Table secteurs'!A:B,2,FALSE)</f>
        <v>dirigeant</v>
      </c>
      <c r="C9" s="61">
        <v>5702</v>
      </c>
      <c r="D9" s="119">
        <f>6536.65+135.85+39.45+86.35+101.15+246.65+2775</f>
        <v>9921.0999999999985</v>
      </c>
      <c r="E9" s="119">
        <f t="shared" ref="E9:L9" si="1">706.65+135.85+4.25+9.35+10.95+26.65+300</f>
        <v>1193.7</v>
      </c>
      <c r="F9" s="119">
        <f t="shared" si="1"/>
        <v>1193.7</v>
      </c>
      <c r="G9" s="119">
        <f t="shared" si="1"/>
        <v>1193.7</v>
      </c>
      <c r="H9" s="119">
        <f t="shared" si="1"/>
        <v>1193.7</v>
      </c>
      <c r="I9" s="119">
        <f t="shared" si="1"/>
        <v>1193.7</v>
      </c>
      <c r="J9" s="119">
        <f t="shared" si="1"/>
        <v>1193.7</v>
      </c>
      <c r="K9" s="119">
        <f t="shared" si="1"/>
        <v>1193.7</v>
      </c>
      <c r="L9" s="119">
        <f t="shared" si="1"/>
        <v>1193.7</v>
      </c>
      <c r="M9" s="119">
        <f>706.65+135.85+4.25+9.35+10.95+26.65+300</f>
        <v>1193.7</v>
      </c>
      <c r="N9" s="119">
        <f>706.65+135.85+4.25+9.35+10.95+26.65+300</f>
        <v>1193.7</v>
      </c>
      <c r="O9" s="119">
        <f>706.65+135.85+4.45+9.15+10.75+26.85+299.9</f>
        <v>1193.5999999999999</v>
      </c>
      <c r="P9" s="88">
        <f t="shared" ref="P9:P20" si="2">SUM(D9:O9)</f>
        <v>23051.700000000004</v>
      </c>
    </row>
    <row r="10" spans="1:16">
      <c r="A10" s="75" t="s">
        <v>327</v>
      </c>
      <c r="B10" s="75" t="s">
        <v>370</v>
      </c>
      <c r="C10" s="75">
        <v>2431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88">
        <f t="shared" si="2"/>
        <v>0</v>
      </c>
    </row>
    <row r="11" spans="1:16">
      <c r="A11" s="81" t="s">
        <v>328</v>
      </c>
      <c r="B11" s="81" t="str">
        <f>VLOOKUP(A11,'Table secteurs'!A:B,2,FALSE)</f>
        <v>technique</v>
      </c>
      <c r="C11" s="81">
        <v>5700</v>
      </c>
      <c r="D11" s="119">
        <f>534.4+110.9+3.25+7.05+8.25+20.15+226.9</f>
        <v>910.89999999999986</v>
      </c>
      <c r="E11" s="119">
        <f t="shared" ref="E11:L11" si="3">401.9+83.4+2.45+5.3+6.2+15.15+170.65</f>
        <v>685.05</v>
      </c>
      <c r="F11" s="119">
        <f t="shared" si="3"/>
        <v>685.05</v>
      </c>
      <c r="G11" s="119">
        <f t="shared" si="3"/>
        <v>685.05</v>
      </c>
      <c r="H11" s="119">
        <f t="shared" si="3"/>
        <v>685.05</v>
      </c>
      <c r="I11" s="119">
        <f t="shared" si="3"/>
        <v>685.05</v>
      </c>
      <c r="J11" s="119">
        <f t="shared" si="3"/>
        <v>685.05</v>
      </c>
      <c r="K11" s="119">
        <f t="shared" si="3"/>
        <v>685.05</v>
      </c>
      <c r="L11" s="119">
        <f t="shared" si="3"/>
        <v>685.05</v>
      </c>
      <c r="M11" s="119">
        <f>401.9+83.4+2.2+5.3+6.2+15.15+170.4</f>
        <v>684.55</v>
      </c>
      <c r="N11" s="119">
        <f>401.9+83.4+2.45+5.3+6.2+15.15+170.65</f>
        <v>685.05</v>
      </c>
      <c r="O11" s="119">
        <f>402.1+83.6+2.4+5.4+6.4+15.35+170.6</f>
        <v>685.85</v>
      </c>
      <c r="P11" s="88">
        <f t="shared" si="2"/>
        <v>8446.7500000000018</v>
      </c>
    </row>
    <row r="12" spans="1:16">
      <c r="A12" s="64" t="s">
        <v>329</v>
      </c>
      <c r="B12" s="64" t="str">
        <f>VLOOKUP(A12,'Table secteurs'!A:B,2,FALSE)</f>
        <v>office</v>
      </c>
      <c r="C12" s="64">
        <v>5701</v>
      </c>
      <c r="D12" s="119">
        <f>432.85+89.85+2.6+5.7+6.7+16.35+183.75</f>
        <v>737.80000000000018</v>
      </c>
      <c r="E12" s="119">
        <f t="shared" ref="E12:K12" si="4">326.85+67.85+1.95+4.3+5.05+12.35+138.75</f>
        <v>557.10000000000014</v>
      </c>
      <c r="F12" s="119">
        <f t="shared" si="4"/>
        <v>557.10000000000014</v>
      </c>
      <c r="G12" s="119">
        <f t="shared" si="4"/>
        <v>557.10000000000014</v>
      </c>
      <c r="H12" s="119">
        <f t="shared" si="4"/>
        <v>557.10000000000014</v>
      </c>
      <c r="I12" s="119">
        <f t="shared" si="4"/>
        <v>557.10000000000014</v>
      </c>
      <c r="J12" s="119">
        <f t="shared" si="4"/>
        <v>557.10000000000014</v>
      </c>
      <c r="K12" s="119">
        <f t="shared" si="4"/>
        <v>557.10000000000014</v>
      </c>
      <c r="L12" s="119">
        <f>326.85+67.85+1.95+4.3+5.05+12.35+138.75</f>
        <v>557.10000000000014</v>
      </c>
      <c r="M12" s="119">
        <f>326.85+67.85+1.95+4.3+5.05+12.35+138.75</f>
        <v>557.10000000000014</v>
      </c>
      <c r="N12" s="119">
        <f>326.85+67.85+2.2+4.3+5.05+12.35+138.75</f>
        <v>557.35000000000014</v>
      </c>
      <c r="O12" s="119">
        <f>326.65+67.65+1.95+4.5+5.1+12.15+138.75</f>
        <v>556.75</v>
      </c>
      <c r="P12" s="88">
        <f t="shared" si="2"/>
        <v>6865.8000000000029</v>
      </c>
    </row>
    <row r="13" spans="1:16">
      <c r="A13" s="83" t="s">
        <v>496</v>
      </c>
      <c r="B13" s="83" t="str">
        <f>VLOOKUP(A13,'Table secteurs'!A:B,2,FALSE)</f>
        <v>technique</v>
      </c>
      <c r="C13" s="83">
        <v>5700</v>
      </c>
      <c r="D13" s="119">
        <f>76.05+15.8+0.45+1+1.2+2.85+32.3</f>
        <v>129.64999999999998</v>
      </c>
      <c r="E13" s="119">
        <f>116.6+24.2+0.7+1.55+1.8+4.4+49.5</f>
        <v>198.75</v>
      </c>
      <c r="F13" s="119">
        <f>116.6+24.2+49.5+4.4+1.8+1.55+0.7</f>
        <v>198.75</v>
      </c>
      <c r="G13" s="119">
        <f>116.6+24.2+49.5+4.4+1.8+1.55+0.7</f>
        <v>198.75</v>
      </c>
      <c r="H13" s="119">
        <f>116.6+24.2+49.5+4.4+1.8+1.55+0.7</f>
        <v>198.75</v>
      </c>
      <c r="I13" s="119">
        <f>116.6+24.2+49.5+4.4+1.8+1.55+0.7</f>
        <v>198.75</v>
      </c>
      <c r="J13" s="119">
        <f>45.6+9.45+0.3+0.55+0.7+1.75+19.35</f>
        <v>77.699999999999989</v>
      </c>
      <c r="K13" s="128"/>
      <c r="L13" s="128"/>
      <c r="M13" s="128"/>
      <c r="N13" s="128"/>
      <c r="O13" s="128"/>
      <c r="P13" s="88">
        <f t="shared" si="2"/>
        <v>1201.1000000000001</v>
      </c>
    </row>
    <row r="14" spans="1:16">
      <c r="A14" s="117" t="s">
        <v>330</v>
      </c>
      <c r="B14" s="83" t="str">
        <f>VLOOKUP(A14,'Table secteurs'!A:B,2,FALSE)</f>
        <v>technique</v>
      </c>
      <c r="C14" s="83">
        <v>5700</v>
      </c>
      <c r="D14" s="119">
        <f>116.6+24.2+0.7+1.55+1.8+4.4+49.5</f>
        <v>198.75</v>
      </c>
      <c r="E14" s="119">
        <f>116.6+24.2+0.7+1.55+1.8+4.4+49.5</f>
        <v>198.75</v>
      </c>
      <c r="F14" s="119">
        <f>55.5+11.5+0.35+0.7+0.85+2.1+23.55</f>
        <v>94.549999999999983</v>
      </c>
      <c r="G14" s="128"/>
      <c r="H14" s="128"/>
      <c r="I14" s="128"/>
      <c r="J14" s="128"/>
      <c r="K14" s="128"/>
      <c r="L14" s="128"/>
      <c r="M14" s="128"/>
      <c r="N14" s="128"/>
      <c r="O14" s="128"/>
      <c r="P14" s="88">
        <f t="shared" si="2"/>
        <v>492.04999999999995</v>
      </c>
    </row>
    <row r="15" spans="1:16">
      <c r="A15" s="118" t="s">
        <v>504</v>
      </c>
      <c r="B15" s="83" t="str">
        <f>VLOOKUP(A15,'Table secteurs'!A:B,2,FALSE)</f>
        <v>technique</v>
      </c>
      <c r="C15" s="83">
        <v>5700</v>
      </c>
      <c r="D15" s="119">
        <f>9.2+1.9+0.05+0.1+0.15+0.35+3.9</f>
        <v>15.65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88">
        <f t="shared" si="2"/>
        <v>15.65</v>
      </c>
    </row>
    <row r="16" spans="1:16">
      <c r="A16" s="118" t="s">
        <v>506</v>
      </c>
      <c r="B16" s="83" t="str">
        <f>VLOOKUP(A16,'Table secteurs'!A:B,2,FALSE)</f>
        <v>technique</v>
      </c>
      <c r="C16" s="83">
        <v>5700</v>
      </c>
      <c r="D16" s="128"/>
      <c r="E16" s="128"/>
      <c r="F16" s="119">
        <f>61.1+12.7+0.35+0.8+0.95+2.3+25.95</f>
        <v>104.14999999999999</v>
      </c>
      <c r="G16" s="119">
        <f>116.6+24.2+0.7+1.55+1.8+4.4+49.5</f>
        <v>198.75</v>
      </c>
      <c r="H16" s="119">
        <f>116.6+24.2+0.7+1.55+1.8+4.4+49.5</f>
        <v>198.75</v>
      </c>
      <c r="I16" s="119">
        <f>27.75+5.75+0.2+0.35+0.45+1.05+11.75</f>
        <v>47.300000000000004</v>
      </c>
      <c r="J16" s="128"/>
      <c r="K16" s="128"/>
      <c r="L16" s="128"/>
      <c r="M16" s="128"/>
      <c r="N16" s="128"/>
      <c r="O16" s="128"/>
      <c r="P16" s="88">
        <f t="shared" si="2"/>
        <v>548.94999999999993</v>
      </c>
    </row>
    <row r="17" spans="1:16">
      <c r="A17" s="21" t="s">
        <v>509</v>
      </c>
      <c r="B17" s="83" t="str">
        <f>VLOOKUP(A17,'Table secteurs'!A:B,2,FALSE)</f>
        <v>technique</v>
      </c>
      <c r="C17" s="83">
        <v>5700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f>61.1+12.7+0.35+0.8+0.95+2.3+25.95</f>
        <v>104.14999999999999</v>
      </c>
      <c r="J17" s="119">
        <f>116.6+24.2+0.7+1.55+1.8+4.4+49.5</f>
        <v>198.75</v>
      </c>
      <c r="K17" s="119">
        <f>116.6+24.2+0.7+1.55+1.8+4.4+49.5</f>
        <v>198.75</v>
      </c>
      <c r="L17" s="119">
        <f>116.6+24.2+0.7+1.55+1.8+4.4+49.5</f>
        <v>198.75</v>
      </c>
      <c r="M17" s="119">
        <f>116.6+24.2+0.7+1.55+1.8+4.4+49.5</f>
        <v>198.75</v>
      </c>
      <c r="N17" s="119">
        <f>116.6+24.2+0.7+1.55+1.8+4.4+49.5</f>
        <v>198.75</v>
      </c>
      <c r="O17" s="119">
        <f>50.65+10.5+0.35+0.65+0.8+1.9+21.5</f>
        <v>86.35</v>
      </c>
      <c r="P17" s="88">
        <f t="shared" si="2"/>
        <v>1184.25</v>
      </c>
    </row>
    <row r="18" spans="1:16">
      <c r="A18" s="132" t="s">
        <v>511</v>
      </c>
      <c r="B18" s="81" t="str">
        <f>VLOOKUP(A18,'Table secteurs'!A:B,2,FALSE)</f>
        <v>technique</v>
      </c>
      <c r="C18" s="81">
        <v>5700</v>
      </c>
      <c r="D18" s="128"/>
      <c r="E18" s="128"/>
      <c r="F18" s="128"/>
      <c r="G18" s="128"/>
      <c r="H18" s="128"/>
      <c r="I18" s="128"/>
      <c r="J18" s="128"/>
      <c r="K18" s="128"/>
      <c r="L18" s="119">
        <f>109.6+22.75+0.65+1.45+1.7+4.15+46.55</f>
        <v>186.84999999999997</v>
      </c>
      <c r="M18" s="119">
        <f>344.5+71.5+2.1+4.55+5.35+13+146.25</f>
        <v>587.25</v>
      </c>
      <c r="N18" s="119">
        <f>344.5+71.5+2.1+4.55+5.35+13+146.25</f>
        <v>587.25</v>
      </c>
      <c r="O18" s="119">
        <f>344.5+71.5+2.05+4.55+5.3+13+146.25</f>
        <v>587.15000000000009</v>
      </c>
      <c r="P18" s="88">
        <f t="shared" si="2"/>
        <v>1948.5</v>
      </c>
    </row>
    <row r="19" spans="1:16">
      <c r="A19" s="131" t="s">
        <v>508</v>
      </c>
      <c r="B19" s="65" t="str">
        <f>VLOOKUP(A19,'Table secteurs'!A:B,2,FALSE)</f>
        <v>informatique</v>
      </c>
      <c r="C19" s="22">
        <v>5703</v>
      </c>
      <c r="D19" s="128"/>
      <c r="E19" s="128"/>
      <c r="F19" s="128"/>
      <c r="G19" s="128"/>
      <c r="H19" s="128"/>
      <c r="I19" s="119">
        <f t="shared" ref="I19:M19" si="5">441.65+91.65+2.65+5.85+6.85+16.65+187.5</f>
        <v>752.8</v>
      </c>
      <c r="J19" s="119">
        <f t="shared" si="5"/>
        <v>752.8</v>
      </c>
      <c r="K19" s="119">
        <f t="shared" si="5"/>
        <v>752.8</v>
      </c>
      <c r="L19" s="119">
        <f t="shared" si="5"/>
        <v>752.8</v>
      </c>
      <c r="M19" s="119">
        <f t="shared" si="5"/>
        <v>752.8</v>
      </c>
      <c r="N19" s="119">
        <f>441.65+91.65+2.65+5.85+6.85+16.65+187.5</f>
        <v>752.8</v>
      </c>
      <c r="O19" s="119">
        <f>441.75+91.75+2.75+5.75+6.75+16.75+187.5</f>
        <v>753</v>
      </c>
      <c r="P19" s="88">
        <f t="shared" si="2"/>
        <v>5269.8</v>
      </c>
    </row>
    <row r="20" spans="1:16">
      <c r="A20" s="79" t="s">
        <v>331</v>
      </c>
      <c r="B20" s="22" t="str">
        <f>VLOOKUP(A20,'Table secteurs'!A:B,2,FALSE)</f>
        <v>informatique</v>
      </c>
      <c r="C20" s="22">
        <v>5703</v>
      </c>
      <c r="D20" s="119">
        <f>1325+135.85+8+17.5+20.5+50+562.5</f>
        <v>2119.35</v>
      </c>
      <c r="E20" s="119">
        <f t="shared" ref="E20:J20" si="6">530+135.85+3.2+7+8.2+20+225</f>
        <v>929.25000000000011</v>
      </c>
      <c r="F20" s="119">
        <f t="shared" si="6"/>
        <v>929.25000000000011</v>
      </c>
      <c r="G20" s="119">
        <f t="shared" si="6"/>
        <v>929.25000000000011</v>
      </c>
      <c r="H20" s="119">
        <f t="shared" si="6"/>
        <v>929.25000000000011</v>
      </c>
      <c r="I20" s="119">
        <f t="shared" si="6"/>
        <v>929.25000000000011</v>
      </c>
      <c r="J20" s="119">
        <f t="shared" si="6"/>
        <v>929.25000000000011</v>
      </c>
      <c r="K20" s="128"/>
      <c r="L20" s="128"/>
      <c r="M20" s="128"/>
      <c r="N20" s="128"/>
      <c r="O20" s="128"/>
      <c r="P20" s="88">
        <f t="shared" si="2"/>
        <v>7694.85</v>
      </c>
    </row>
    <row r="21" spans="1:16">
      <c r="D21" s="24">
        <f>SUM(D8:D20)</f>
        <v>15160.799999999997</v>
      </c>
      <c r="E21" s="24">
        <f>SUM(E8:E20)</f>
        <v>4890.2000000000007</v>
      </c>
      <c r="F21" s="24">
        <f>SUM(F8:F20)</f>
        <v>4890.1500000000015</v>
      </c>
      <c r="G21" s="24">
        <f t="shared" ref="G21:O21" si="7">SUM(G7:G20)</f>
        <v>4890.2000000000007</v>
      </c>
      <c r="H21" s="24">
        <f t="shared" si="7"/>
        <v>4890.2000000000007</v>
      </c>
      <c r="I21" s="24">
        <f t="shared" si="7"/>
        <v>5595.7000000000007</v>
      </c>
      <c r="J21" s="24">
        <f t="shared" si="7"/>
        <v>5521.9500000000007</v>
      </c>
      <c r="K21" s="24">
        <f t="shared" si="7"/>
        <v>4515.0000000000009</v>
      </c>
      <c r="L21" s="24">
        <f>SUM(L8:L20)</f>
        <v>4701.8500000000004</v>
      </c>
      <c r="M21" s="24">
        <f t="shared" si="7"/>
        <v>5101.7500000000009</v>
      </c>
      <c r="N21" s="24">
        <f t="shared" si="7"/>
        <v>5102.5000000000009</v>
      </c>
      <c r="O21" s="24">
        <f t="shared" si="7"/>
        <v>4990.2999999999993</v>
      </c>
      <c r="P21" s="73">
        <f t="shared" ref="P21" si="8">SUM(D21:O21)</f>
        <v>70250.599999999991</v>
      </c>
    </row>
    <row r="24" spans="1:16">
      <c r="C24" s="68" t="s">
        <v>360</v>
      </c>
      <c r="D24" s="69" t="s">
        <v>332</v>
      </c>
      <c r="E24" s="69" t="s">
        <v>333</v>
      </c>
      <c r="F24" s="69" t="s">
        <v>334</v>
      </c>
      <c r="G24" s="69" t="s">
        <v>335</v>
      </c>
      <c r="H24" s="69" t="s">
        <v>336</v>
      </c>
      <c r="I24" s="69" t="s">
        <v>337</v>
      </c>
      <c r="J24" s="69" t="s">
        <v>338</v>
      </c>
      <c r="K24" s="69" t="s">
        <v>339</v>
      </c>
      <c r="L24" s="69" t="s">
        <v>340</v>
      </c>
      <c r="M24" s="69" t="s">
        <v>341</v>
      </c>
      <c r="N24" s="69" t="s">
        <v>342</v>
      </c>
      <c r="O24" s="69" t="s">
        <v>343</v>
      </c>
      <c r="P24" s="69" t="s">
        <v>359</v>
      </c>
    </row>
    <row r="25" spans="1:16">
      <c r="A25" s="67" t="s">
        <v>359</v>
      </c>
      <c r="B25" s="21" t="s">
        <v>348</v>
      </c>
      <c r="C25" s="21">
        <v>5700</v>
      </c>
      <c r="D25" s="41">
        <f ca="1">SUMIF($C$8:$O$20,$C25,D$8:D$20)</f>
        <v>1254.9499999999998</v>
      </c>
      <c r="E25" s="41">
        <f t="shared" ref="D25:O29" ca="1" si="9">SUMIF($C$8:$O$20,$C25,E$8:E$20)</f>
        <v>1082.55</v>
      </c>
      <c r="F25" s="41">
        <f t="shared" ca="1" si="9"/>
        <v>1082.5</v>
      </c>
      <c r="G25" s="41">
        <f t="shared" ca="1" si="9"/>
        <v>1082.55</v>
      </c>
      <c r="H25" s="41">
        <f t="shared" ca="1" si="9"/>
        <v>1082.55</v>
      </c>
      <c r="I25" s="41">
        <f t="shared" ca="1" si="9"/>
        <v>1035.25</v>
      </c>
      <c r="J25" s="41">
        <f t="shared" ca="1" si="9"/>
        <v>961.5</v>
      </c>
      <c r="K25" s="41">
        <f t="shared" ca="1" si="9"/>
        <v>883.8</v>
      </c>
      <c r="L25" s="41">
        <f t="shared" ca="1" si="9"/>
        <v>1070.6499999999999</v>
      </c>
      <c r="M25" s="41">
        <f t="shared" ca="1" si="9"/>
        <v>1470.55</v>
      </c>
      <c r="N25" s="41">
        <f t="shared" ca="1" si="9"/>
        <v>1471.05</v>
      </c>
      <c r="O25" s="41">
        <f t="shared" ca="1" si="9"/>
        <v>1359.3500000000001</v>
      </c>
      <c r="P25" s="71">
        <f ca="1">SUM(D25:O25)</f>
        <v>13837.249999999998</v>
      </c>
    </row>
    <row r="26" spans="1:16">
      <c r="B26" s="20" t="s">
        <v>347</v>
      </c>
      <c r="C26" s="20">
        <v>5701</v>
      </c>
      <c r="D26" s="41">
        <f ca="1">SUMIF($C$8:$O$20,$C26,D$8:D$20)</f>
        <v>737.80000000000018</v>
      </c>
      <c r="E26" s="41">
        <f t="shared" ca="1" si="9"/>
        <v>557.10000000000014</v>
      </c>
      <c r="F26" s="41">
        <f t="shared" ca="1" si="9"/>
        <v>557.10000000000014</v>
      </c>
      <c r="G26" s="41">
        <f t="shared" ca="1" si="9"/>
        <v>557.10000000000014</v>
      </c>
      <c r="H26" s="41">
        <f t="shared" ca="1" si="9"/>
        <v>557.10000000000014</v>
      </c>
      <c r="I26" s="41">
        <f t="shared" ca="1" si="9"/>
        <v>557.10000000000014</v>
      </c>
      <c r="J26" s="41">
        <f t="shared" ca="1" si="9"/>
        <v>557.10000000000014</v>
      </c>
      <c r="K26" s="41">
        <f t="shared" ca="1" si="9"/>
        <v>557.10000000000014</v>
      </c>
      <c r="L26" s="41">
        <f t="shared" ca="1" si="9"/>
        <v>557.10000000000014</v>
      </c>
      <c r="M26" s="41">
        <f t="shared" ca="1" si="9"/>
        <v>557.10000000000014</v>
      </c>
      <c r="N26" s="41">
        <f t="shared" ca="1" si="9"/>
        <v>557.35000000000014</v>
      </c>
      <c r="O26" s="41">
        <f t="shared" ca="1" si="9"/>
        <v>556.75</v>
      </c>
      <c r="P26" s="71">
        <f t="shared" ref="P26:P30" ca="1" si="10">SUM(D26:O26)</f>
        <v>6865.8000000000029</v>
      </c>
    </row>
    <row r="27" spans="1:16">
      <c r="B27" s="18" t="s">
        <v>346</v>
      </c>
      <c r="C27" s="18">
        <v>5702</v>
      </c>
      <c r="D27" s="41">
        <f ca="1">SUMIF($C$8:$O$20,$C27,D$8:D$20)</f>
        <v>11048.699999999999</v>
      </c>
      <c r="E27" s="41">
        <f t="shared" ca="1" si="9"/>
        <v>2321.3000000000002</v>
      </c>
      <c r="F27" s="41">
        <f t="shared" ca="1" si="9"/>
        <v>2321.3000000000002</v>
      </c>
      <c r="G27" s="41">
        <f t="shared" ca="1" si="9"/>
        <v>2321.3000000000002</v>
      </c>
      <c r="H27" s="41">
        <f t="shared" ca="1" si="9"/>
        <v>2321.3000000000002</v>
      </c>
      <c r="I27" s="41">
        <f t="shared" ca="1" si="9"/>
        <v>2321.3000000000002</v>
      </c>
      <c r="J27" s="41">
        <f t="shared" ca="1" si="9"/>
        <v>2321.3000000000002</v>
      </c>
      <c r="K27" s="41">
        <f t="shared" ca="1" si="9"/>
        <v>2321.3000000000002</v>
      </c>
      <c r="L27" s="41">
        <f t="shared" ca="1" si="9"/>
        <v>2321.3000000000002</v>
      </c>
      <c r="M27" s="41">
        <f t="shared" ca="1" si="9"/>
        <v>2321.3000000000002</v>
      </c>
      <c r="N27" s="41">
        <f t="shared" ca="1" si="9"/>
        <v>2321.3000000000002</v>
      </c>
      <c r="O27" s="41">
        <f t="shared" ca="1" si="9"/>
        <v>2321.1999999999998</v>
      </c>
      <c r="P27" s="71">
        <f t="shared" ca="1" si="10"/>
        <v>36582.899999999994</v>
      </c>
    </row>
    <row r="28" spans="1:16">
      <c r="B28" s="75" t="s">
        <v>370</v>
      </c>
      <c r="C28" s="75">
        <v>2431</v>
      </c>
      <c r="D28" s="41">
        <f t="shared" ca="1" si="9"/>
        <v>0</v>
      </c>
      <c r="E28" s="41">
        <f t="shared" ca="1" si="9"/>
        <v>0</v>
      </c>
      <c r="F28" s="41">
        <f t="shared" ca="1" si="9"/>
        <v>0</v>
      </c>
      <c r="G28" s="41">
        <f t="shared" ca="1" si="9"/>
        <v>0</v>
      </c>
      <c r="H28" s="41">
        <f t="shared" ca="1" si="9"/>
        <v>0</v>
      </c>
      <c r="I28" s="41">
        <f t="shared" ca="1" si="9"/>
        <v>0</v>
      </c>
      <c r="J28" s="41">
        <f t="shared" ca="1" si="9"/>
        <v>0</v>
      </c>
      <c r="K28" s="41">
        <f t="shared" ca="1" si="9"/>
        <v>0</v>
      </c>
      <c r="L28" s="41">
        <f t="shared" ca="1" si="9"/>
        <v>0</v>
      </c>
      <c r="M28" s="41">
        <f t="shared" ca="1" si="9"/>
        <v>0</v>
      </c>
      <c r="N28" s="41">
        <f t="shared" ca="1" si="9"/>
        <v>0</v>
      </c>
      <c r="O28" s="41">
        <f t="shared" ca="1" si="9"/>
        <v>0</v>
      </c>
      <c r="P28" s="71">
        <f t="shared" ca="1" si="10"/>
        <v>0</v>
      </c>
    </row>
    <row r="29" spans="1:16">
      <c r="B29" s="22" t="s">
        <v>349</v>
      </c>
      <c r="C29" s="22">
        <v>5703</v>
      </c>
      <c r="D29" s="41">
        <f t="shared" ca="1" si="9"/>
        <v>2119.35</v>
      </c>
      <c r="E29" s="41">
        <f t="shared" ca="1" si="9"/>
        <v>929.25000000000011</v>
      </c>
      <c r="F29" s="41">
        <f t="shared" ca="1" si="9"/>
        <v>929.25000000000011</v>
      </c>
      <c r="G29" s="41">
        <f t="shared" ca="1" si="9"/>
        <v>929.25000000000011</v>
      </c>
      <c r="H29" s="41">
        <f t="shared" ca="1" si="9"/>
        <v>929.25000000000011</v>
      </c>
      <c r="I29" s="41">
        <f t="shared" ca="1" si="9"/>
        <v>1682.0500000000002</v>
      </c>
      <c r="J29" s="41">
        <f t="shared" ca="1" si="9"/>
        <v>1682.0500000000002</v>
      </c>
      <c r="K29" s="41">
        <f t="shared" ca="1" si="9"/>
        <v>752.8</v>
      </c>
      <c r="L29" s="41">
        <f t="shared" ca="1" si="9"/>
        <v>752.8</v>
      </c>
      <c r="M29" s="41">
        <f t="shared" ca="1" si="9"/>
        <v>752.8</v>
      </c>
      <c r="N29" s="41">
        <f t="shared" ca="1" si="9"/>
        <v>752.8</v>
      </c>
      <c r="O29" s="41">
        <f t="shared" ca="1" si="9"/>
        <v>753</v>
      </c>
      <c r="P29" s="71">
        <f t="shared" ca="1" si="10"/>
        <v>12964.649999999998</v>
      </c>
    </row>
    <row r="30" spans="1:16">
      <c r="C30" s="70" t="s">
        <v>359</v>
      </c>
      <c r="D30" s="71">
        <f ca="1">SUM(D25:D29)</f>
        <v>15160.8</v>
      </c>
      <c r="E30" s="71">
        <f t="shared" ref="E30:O30" ca="1" si="11">SUM(E25:E29)</f>
        <v>4890.2000000000007</v>
      </c>
      <c r="F30" s="71">
        <f t="shared" ca="1" si="11"/>
        <v>4890.1500000000005</v>
      </c>
      <c r="G30" s="71">
        <f t="shared" ca="1" si="11"/>
        <v>4890.2000000000007</v>
      </c>
      <c r="H30" s="71">
        <f t="shared" ca="1" si="11"/>
        <v>4890.2000000000007</v>
      </c>
      <c r="I30" s="71">
        <f t="shared" ca="1" si="11"/>
        <v>5595.7000000000007</v>
      </c>
      <c r="J30" s="71">
        <f t="shared" ca="1" si="11"/>
        <v>5521.9500000000007</v>
      </c>
      <c r="K30" s="71">
        <f t="shared" ca="1" si="11"/>
        <v>4515</v>
      </c>
      <c r="L30" s="71">
        <f t="shared" ca="1" si="11"/>
        <v>4701.8500000000004</v>
      </c>
      <c r="M30" s="71">
        <f ca="1">SUM(M25:M29)</f>
        <v>5101.7500000000009</v>
      </c>
      <c r="N30" s="71">
        <f t="shared" ca="1" si="11"/>
        <v>5102.5000000000009</v>
      </c>
      <c r="O30" s="71">
        <f t="shared" ca="1" si="11"/>
        <v>4990.3</v>
      </c>
      <c r="P30" s="71">
        <f t="shared" ca="1" si="10"/>
        <v>70250.599999999991</v>
      </c>
    </row>
    <row r="32" spans="1:16">
      <c r="C32" t="s">
        <v>358</v>
      </c>
      <c r="D32" s="40">
        <f ca="1">+D21-D30</f>
        <v>0</v>
      </c>
      <c r="E32" s="40">
        <f t="shared" ref="E32:P32" ca="1" si="12">+E21-E30</f>
        <v>0</v>
      </c>
      <c r="F32" s="40">
        <f t="shared" ca="1" si="12"/>
        <v>0</v>
      </c>
      <c r="G32" s="40">
        <f t="shared" ca="1" si="12"/>
        <v>0</v>
      </c>
      <c r="H32" s="40">
        <f t="shared" ca="1" si="12"/>
        <v>0</v>
      </c>
      <c r="I32" s="40">
        <f t="shared" ca="1" si="12"/>
        <v>0</v>
      </c>
      <c r="J32" s="40">
        <f t="shared" ca="1" si="12"/>
        <v>0</v>
      </c>
      <c r="K32" s="40">
        <f t="shared" ca="1" si="12"/>
        <v>0</v>
      </c>
      <c r="L32" s="40">
        <f t="shared" ca="1" si="12"/>
        <v>0</v>
      </c>
      <c r="M32" s="40">
        <f t="shared" ca="1" si="12"/>
        <v>0</v>
      </c>
      <c r="N32" s="40">
        <f t="shared" ca="1" si="12"/>
        <v>0</v>
      </c>
      <c r="O32" s="40">
        <f t="shared" ca="1" si="12"/>
        <v>0</v>
      </c>
      <c r="P32" s="40">
        <f t="shared" ca="1" si="12"/>
        <v>0</v>
      </c>
    </row>
    <row r="36" spans="3:3">
      <c r="C36">
        <v>2273</v>
      </c>
    </row>
  </sheetData>
  <mergeCells count="14">
    <mergeCell ref="D6:D7"/>
    <mergeCell ref="E6:E7"/>
    <mergeCell ref="F6:F7"/>
    <mergeCell ref="G6:G7"/>
    <mergeCell ref="H6:H7"/>
    <mergeCell ref="M6:M7"/>
    <mergeCell ref="N6:N7"/>
    <mergeCell ref="O6:O7"/>
    <mergeCell ref="P6:P7"/>
    <mergeCell ref="E2:N4"/>
    <mergeCell ref="I6:I7"/>
    <mergeCell ref="J6:J7"/>
    <mergeCell ref="K6:K7"/>
    <mergeCell ref="L6:L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C391-40A7-4DD5-BFB3-3E1144F81379}">
  <sheetPr>
    <pageSetUpPr fitToPage="1"/>
  </sheetPr>
  <dimension ref="A1:P30"/>
  <sheetViews>
    <sheetView zoomScaleNormal="100" workbookViewId="0">
      <selection activeCell="O6" sqref="O6"/>
    </sheetView>
  </sheetViews>
  <sheetFormatPr baseColWidth="10" defaultRowHeight="15"/>
  <cols>
    <col min="2" max="2" width="12.7109375" bestFit="1" customWidth="1"/>
    <col min="4" max="13" width="12.85546875" bestFit="1" customWidth="1"/>
    <col min="14" max="14" width="11.7109375" customWidth="1"/>
    <col min="15" max="15" width="14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371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5732</v>
      </c>
      <c r="D3" s="119">
        <f t="shared" ref="D3:L3" si="0">50.45+16.5+0.35</f>
        <v>67.3</v>
      </c>
      <c r="E3" s="119">
        <f t="shared" si="0"/>
        <v>67.3</v>
      </c>
      <c r="F3" s="119">
        <f t="shared" si="0"/>
        <v>67.3</v>
      </c>
      <c r="G3" s="119">
        <f t="shared" si="0"/>
        <v>67.3</v>
      </c>
      <c r="H3" s="119">
        <f t="shared" si="0"/>
        <v>67.3</v>
      </c>
      <c r="I3" s="119">
        <f t="shared" si="0"/>
        <v>67.3</v>
      </c>
      <c r="J3" s="119">
        <f t="shared" si="0"/>
        <v>67.3</v>
      </c>
      <c r="K3" s="119">
        <f t="shared" si="0"/>
        <v>67.3</v>
      </c>
      <c r="L3" s="119">
        <f t="shared" si="0"/>
        <v>67.3</v>
      </c>
      <c r="M3" s="119">
        <v>67.3</v>
      </c>
      <c r="N3" s="119">
        <f>50.45+16.5+0.35</f>
        <v>67.3</v>
      </c>
      <c r="O3" s="119">
        <f>50.45+16.65+0.45</f>
        <v>67.55</v>
      </c>
      <c r="P3" s="74">
        <f>SUM(D3:O3)</f>
        <v>807.8499999999998</v>
      </c>
    </row>
    <row r="4" spans="1:16">
      <c r="A4" s="18" t="s">
        <v>326</v>
      </c>
      <c r="B4" s="18" t="s">
        <v>346</v>
      </c>
      <c r="C4" s="18">
        <v>5732</v>
      </c>
      <c r="D4" s="119">
        <f t="shared" ref="D4:L4" si="1">50.45+16.5+30.1</f>
        <v>97.050000000000011</v>
      </c>
      <c r="E4" s="119">
        <f t="shared" si="1"/>
        <v>97.050000000000011</v>
      </c>
      <c r="F4" s="119">
        <f t="shared" si="1"/>
        <v>97.050000000000011</v>
      </c>
      <c r="G4" s="119">
        <f t="shared" si="1"/>
        <v>97.050000000000011</v>
      </c>
      <c r="H4" s="119">
        <f t="shared" si="1"/>
        <v>97.050000000000011</v>
      </c>
      <c r="I4" s="119">
        <f t="shared" si="1"/>
        <v>97.050000000000011</v>
      </c>
      <c r="J4" s="119">
        <f t="shared" si="1"/>
        <v>97.050000000000011</v>
      </c>
      <c r="K4" s="119">
        <f t="shared" si="1"/>
        <v>97.050000000000011</v>
      </c>
      <c r="L4" s="119">
        <f t="shared" si="1"/>
        <v>97.050000000000011</v>
      </c>
      <c r="M4" s="119">
        <f>50.45+16.5+14.25</f>
        <v>81.2</v>
      </c>
      <c r="N4" s="119">
        <f>50.45+16.5+2.35</f>
        <v>69.3</v>
      </c>
      <c r="O4" s="119">
        <f>50.45+16.65+2.3</f>
        <v>69.399999999999991</v>
      </c>
      <c r="P4" s="74">
        <f t="shared" ref="P4:P16" si="2">SUM(D4:O4)</f>
        <v>1093.3500000000001</v>
      </c>
    </row>
    <row r="5" spans="1:16">
      <c r="A5" s="75" t="s">
        <v>327</v>
      </c>
      <c r="B5" s="75" t="s">
        <v>370</v>
      </c>
      <c r="C5" s="75">
        <v>2431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74">
        <f t="shared" si="2"/>
        <v>0</v>
      </c>
    </row>
    <row r="6" spans="1:16">
      <c r="A6" s="19" t="s">
        <v>328</v>
      </c>
      <c r="B6" s="19" t="s">
        <v>348</v>
      </c>
      <c r="C6" s="19">
        <v>5730</v>
      </c>
      <c r="D6" s="119">
        <f>41.2+13.5</f>
        <v>54.7</v>
      </c>
      <c r="E6" s="119">
        <f t="shared" ref="E6:M6" si="3">31+10.15</f>
        <v>41.15</v>
      </c>
      <c r="F6" s="119">
        <f t="shared" si="3"/>
        <v>41.15</v>
      </c>
      <c r="G6" s="119">
        <f t="shared" si="3"/>
        <v>41.15</v>
      </c>
      <c r="H6" s="119">
        <f t="shared" si="3"/>
        <v>41.15</v>
      </c>
      <c r="I6" s="119">
        <f t="shared" si="3"/>
        <v>41.15</v>
      </c>
      <c r="J6" s="119">
        <f t="shared" si="3"/>
        <v>41.15</v>
      </c>
      <c r="K6" s="119">
        <f t="shared" si="3"/>
        <v>41.15</v>
      </c>
      <c r="L6" s="119">
        <f t="shared" si="3"/>
        <v>41.15</v>
      </c>
      <c r="M6" s="119">
        <f t="shared" si="3"/>
        <v>41.15</v>
      </c>
      <c r="N6" s="119">
        <f>30.75+10.15</f>
        <v>40.9</v>
      </c>
      <c r="O6" s="119">
        <f>31+10</f>
        <v>41</v>
      </c>
      <c r="P6" s="74">
        <f t="shared" si="2"/>
        <v>506.94999999999987</v>
      </c>
    </row>
    <row r="7" spans="1:16">
      <c r="A7" s="20" t="s">
        <v>329</v>
      </c>
      <c r="B7" s="20" t="s">
        <v>347</v>
      </c>
      <c r="C7" s="20">
        <v>5731</v>
      </c>
      <c r="D7" s="119">
        <f>33.35+10.9</f>
        <v>44.25</v>
      </c>
      <c r="E7" s="119">
        <f t="shared" ref="E7:M7" si="4">25.2+8.25</f>
        <v>33.450000000000003</v>
      </c>
      <c r="F7" s="119">
        <f t="shared" si="4"/>
        <v>33.450000000000003</v>
      </c>
      <c r="G7" s="119">
        <f t="shared" si="4"/>
        <v>33.450000000000003</v>
      </c>
      <c r="H7" s="119">
        <f t="shared" si="4"/>
        <v>33.450000000000003</v>
      </c>
      <c r="I7" s="119">
        <f t="shared" si="4"/>
        <v>33.450000000000003</v>
      </c>
      <c r="J7" s="119">
        <f t="shared" si="4"/>
        <v>33.450000000000003</v>
      </c>
      <c r="K7" s="119">
        <f t="shared" si="4"/>
        <v>33.450000000000003</v>
      </c>
      <c r="L7" s="119">
        <f t="shared" si="4"/>
        <v>33.450000000000003</v>
      </c>
      <c r="M7" s="119">
        <f t="shared" si="4"/>
        <v>33.450000000000003</v>
      </c>
      <c r="N7" s="119">
        <f>25.2+8.25</f>
        <v>33.450000000000003</v>
      </c>
      <c r="O7" s="119">
        <f>25.1+8.2</f>
        <v>33.299999999999997</v>
      </c>
      <c r="P7" s="74">
        <f t="shared" si="2"/>
        <v>412.04999999999995</v>
      </c>
    </row>
    <row r="8" spans="1:16">
      <c r="A8" s="21" t="s">
        <v>496</v>
      </c>
      <c r="B8" s="21" t="s">
        <v>348</v>
      </c>
      <c r="C8" s="21">
        <v>5730</v>
      </c>
      <c r="D8" s="124">
        <f>5.85+1.9</f>
        <v>7.75</v>
      </c>
      <c r="E8" s="119">
        <f>9+2.95</f>
        <v>11.95</v>
      </c>
      <c r="F8" s="119">
        <f>9+2.95</f>
        <v>11.95</v>
      </c>
      <c r="G8" s="119">
        <f>9+2.95</f>
        <v>11.95</v>
      </c>
      <c r="H8" s="119">
        <f>9+2.95</f>
        <v>11.95</v>
      </c>
      <c r="I8" s="119">
        <f>9+2.95</f>
        <v>11.95</v>
      </c>
      <c r="J8" s="119">
        <f>3.45+1.15</f>
        <v>4.5999999999999996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74">
        <f t="shared" si="2"/>
        <v>72.099999999999994</v>
      </c>
    </row>
    <row r="9" spans="1:16">
      <c r="A9" s="21" t="s">
        <v>330</v>
      </c>
      <c r="B9" s="21" t="s">
        <v>348</v>
      </c>
      <c r="C9" s="21">
        <v>5730</v>
      </c>
      <c r="D9" s="119">
        <f>9+2.95</f>
        <v>11.95</v>
      </c>
      <c r="E9" s="119">
        <f>9+2.95</f>
        <v>11.95</v>
      </c>
      <c r="F9" s="119">
        <f>4.25+1.4</f>
        <v>5.65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74">
        <f t="shared" si="2"/>
        <v>29.549999999999997</v>
      </c>
    </row>
    <row r="10" spans="1:16">
      <c r="A10" s="21" t="s">
        <v>504</v>
      </c>
      <c r="B10" s="21" t="s">
        <v>348</v>
      </c>
      <c r="C10" s="21">
        <v>5730</v>
      </c>
      <c r="D10" s="124">
        <f>0.7+0.25</f>
        <v>0.95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74">
        <f t="shared" si="2"/>
        <v>0.95</v>
      </c>
    </row>
    <row r="11" spans="1:16">
      <c r="A11" s="21" t="s">
        <v>506</v>
      </c>
      <c r="B11" s="21" t="s">
        <v>348</v>
      </c>
      <c r="C11" s="21">
        <v>5730</v>
      </c>
      <c r="D11" s="119">
        <v>0</v>
      </c>
      <c r="E11" s="119">
        <v>0</v>
      </c>
      <c r="F11" s="119">
        <f>4.7+1.55</f>
        <v>6.25</v>
      </c>
      <c r="G11" s="119">
        <f>9+2.95</f>
        <v>11.95</v>
      </c>
      <c r="H11" s="119">
        <f>9+2.95</f>
        <v>11.95</v>
      </c>
      <c r="I11" s="119">
        <f>2.1+0.65</f>
        <v>2.75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74">
        <f t="shared" si="2"/>
        <v>32.9</v>
      </c>
    </row>
    <row r="12" spans="1:16">
      <c r="A12" s="21" t="s">
        <v>509</v>
      </c>
      <c r="B12" s="21" t="s">
        <v>348</v>
      </c>
      <c r="C12" s="21">
        <v>5730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f>4.7+1.55</f>
        <v>6.25</v>
      </c>
      <c r="J12" s="119">
        <f>9+2.95</f>
        <v>11.95</v>
      </c>
      <c r="K12" s="119">
        <f>9+2.95</f>
        <v>11.95</v>
      </c>
      <c r="L12" s="119">
        <f>9+2.95</f>
        <v>11.95</v>
      </c>
      <c r="M12" s="119">
        <f>9+2.95</f>
        <v>11.95</v>
      </c>
      <c r="N12" s="119">
        <f>9+2.95</f>
        <v>11.95</v>
      </c>
      <c r="O12" s="119">
        <f>3.85+1.25</f>
        <v>5.0999999999999996</v>
      </c>
      <c r="P12" s="74">
        <f t="shared" si="2"/>
        <v>71.099999999999994</v>
      </c>
    </row>
    <row r="13" spans="1:16">
      <c r="A13" s="19" t="s">
        <v>511</v>
      </c>
      <c r="B13" s="19" t="s">
        <v>348</v>
      </c>
      <c r="C13" s="19">
        <v>5730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f>8.45+2.75</f>
        <v>11.2</v>
      </c>
      <c r="M13" s="119">
        <f>26.55+8.7</f>
        <v>35.25</v>
      </c>
      <c r="N13" s="119">
        <f>26.55+8.7</f>
        <v>35.25</v>
      </c>
      <c r="O13" s="119">
        <f>26.55+8.7</f>
        <v>35.25</v>
      </c>
      <c r="P13" s="74">
        <f t="shared" si="2"/>
        <v>116.95</v>
      </c>
    </row>
    <row r="14" spans="1:16">
      <c r="A14" s="22" t="s">
        <v>508</v>
      </c>
      <c r="B14" s="22" t="s">
        <v>349</v>
      </c>
      <c r="C14" s="22">
        <v>5733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f t="shared" ref="I14:N14" si="5">34.05+11.15</f>
        <v>45.199999999999996</v>
      </c>
      <c r="J14" s="119">
        <f t="shared" si="5"/>
        <v>45.199999999999996</v>
      </c>
      <c r="K14" s="119">
        <f t="shared" si="5"/>
        <v>45.199999999999996</v>
      </c>
      <c r="L14" s="119">
        <f t="shared" si="5"/>
        <v>45.199999999999996</v>
      </c>
      <c r="M14" s="119">
        <f t="shared" si="5"/>
        <v>45.199999999999996</v>
      </c>
      <c r="N14" s="119">
        <f t="shared" si="5"/>
        <v>45.199999999999996</v>
      </c>
      <c r="O14" s="119">
        <f>34+11.1</f>
        <v>45.1</v>
      </c>
      <c r="P14" s="74">
        <f t="shared" si="2"/>
        <v>316.3</v>
      </c>
    </row>
    <row r="15" spans="1:16">
      <c r="A15" s="22" t="s">
        <v>331</v>
      </c>
      <c r="B15" s="22" t="s">
        <v>349</v>
      </c>
      <c r="C15" s="22">
        <v>5733</v>
      </c>
      <c r="D15" s="119">
        <f>50.45+16.5+30.1</f>
        <v>97.050000000000011</v>
      </c>
      <c r="E15" s="119">
        <f>50.45+16.5-5.6</f>
        <v>61.35</v>
      </c>
      <c r="F15" s="119">
        <f>50.45+16.55-5.6</f>
        <v>61.4</v>
      </c>
      <c r="G15" s="119">
        <f>50.45+16.55-5.55</f>
        <v>61.45</v>
      </c>
      <c r="H15" s="119">
        <f>50.45+16.5-5.6</f>
        <v>61.35</v>
      </c>
      <c r="I15" s="119">
        <f>50.45+16.5-5.6</f>
        <v>61.35</v>
      </c>
      <c r="J15" s="119">
        <f>44.5+14.6-2.15</f>
        <v>56.95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74">
        <f t="shared" si="2"/>
        <v>460.90000000000003</v>
      </c>
    </row>
    <row r="16" spans="1:16">
      <c r="D16" s="24">
        <f t="shared" ref="D16:K16" si="6">SUM(D3:D15)</f>
        <v>381</v>
      </c>
      <c r="E16" s="24">
        <f t="shared" si="6"/>
        <v>324.20000000000005</v>
      </c>
      <c r="F16" s="24">
        <f t="shared" si="6"/>
        <v>324.2</v>
      </c>
      <c r="G16" s="24">
        <f t="shared" si="6"/>
        <v>324.3</v>
      </c>
      <c r="H16" s="24">
        <f t="shared" si="6"/>
        <v>324.20000000000005</v>
      </c>
      <c r="I16" s="24">
        <f t="shared" si="6"/>
        <v>366.45000000000005</v>
      </c>
      <c r="J16" s="24">
        <f t="shared" si="6"/>
        <v>357.65000000000003</v>
      </c>
      <c r="K16" s="24">
        <f t="shared" si="6"/>
        <v>296.10000000000002</v>
      </c>
      <c r="L16" s="24">
        <f>SUM(L3:L15)</f>
        <v>307.3</v>
      </c>
      <c r="M16" s="24">
        <f>SUM(M3:M15)</f>
        <v>315.5</v>
      </c>
      <c r="N16" s="24">
        <f>SUM(N3:N15)</f>
        <v>303.34999999999997</v>
      </c>
      <c r="O16" s="24">
        <f>SUM(O3:O15)</f>
        <v>296.7</v>
      </c>
      <c r="P16" s="73">
        <f t="shared" si="2"/>
        <v>3920.95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3920.95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5730</v>
      </c>
      <c r="D20" s="41">
        <f ca="1">SUMIF($C$3:$O$15,$C20,D$3:D$15)</f>
        <v>75.350000000000009</v>
      </c>
      <c r="E20" s="41">
        <f t="shared" ref="D20:O24" ca="1" si="7">SUMIF($C$3:$O$15,$C20,E$3:E$15)</f>
        <v>65.05</v>
      </c>
      <c r="F20" s="41">
        <f t="shared" ca="1" si="7"/>
        <v>65</v>
      </c>
      <c r="G20" s="41">
        <f t="shared" ca="1" si="7"/>
        <v>65.05</v>
      </c>
      <c r="H20" s="41">
        <f t="shared" ca="1" si="7"/>
        <v>65.05</v>
      </c>
      <c r="I20" s="41">
        <f t="shared" ca="1" si="7"/>
        <v>62.099999999999994</v>
      </c>
      <c r="J20" s="41">
        <f t="shared" ca="1" si="7"/>
        <v>57.7</v>
      </c>
      <c r="K20" s="41">
        <f t="shared" ca="1" si="7"/>
        <v>53.099999999999994</v>
      </c>
      <c r="L20" s="41">
        <f t="shared" ca="1" si="7"/>
        <v>64.3</v>
      </c>
      <c r="M20" s="41">
        <f t="shared" ca="1" si="7"/>
        <v>88.35</v>
      </c>
      <c r="N20" s="41">
        <f t="shared" ca="1" si="7"/>
        <v>88.1</v>
      </c>
      <c r="O20" s="41">
        <f t="shared" ca="1" si="7"/>
        <v>81.349999999999994</v>
      </c>
      <c r="P20" s="71">
        <f ca="1">SUM(D20:O20)</f>
        <v>830.5</v>
      </c>
    </row>
    <row r="21" spans="1:16">
      <c r="B21" s="20" t="s">
        <v>347</v>
      </c>
      <c r="C21" s="20">
        <v>5731</v>
      </c>
      <c r="D21" s="41">
        <f t="shared" ca="1" si="7"/>
        <v>44.25</v>
      </c>
      <c r="E21" s="41">
        <f t="shared" ca="1" si="7"/>
        <v>33.450000000000003</v>
      </c>
      <c r="F21" s="41">
        <f t="shared" ca="1" si="7"/>
        <v>33.450000000000003</v>
      </c>
      <c r="G21" s="41">
        <f t="shared" ca="1" si="7"/>
        <v>33.450000000000003</v>
      </c>
      <c r="H21" s="41">
        <f t="shared" ca="1" si="7"/>
        <v>33.450000000000003</v>
      </c>
      <c r="I21" s="41">
        <f t="shared" ca="1" si="7"/>
        <v>33.450000000000003</v>
      </c>
      <c r="J21" s="41">
        <f t="shared" ca="1" si="7"/>
        <v>33.450000000000003</v>
      </c>
      <c r="K21" s="41">
        <f t="shared" ca="1" si="7"/>
        <v>33.450000000000003</v>
      </c>
      <c r="L21" s="41">
        <f t="shared" ca="1" si="7"/>
        <v>33.450000000000003</v>
      </c>
      <c r="M21" s="41">
        <f t="shared" ca="1" si="7"/>
        <v>33.450000000000003</v>
      </c>
      <c r="N21" s="41">
        <f t="shared" ca="1" si="7"/>
        <v>33.450000000000003</v>
      </c>
      <c r="O21" s="41">
        <f t="shared" ca="1" si="7"/>
        <v>33.299999999999997</v>
      </c>
      <c r="P21" s="71">
        <f t="shared" ref="P21:P25" ca="1" si="8">SUM(D21:O21)</f>
        <v>412.04999999999995</v>
      </c>
    </row>
    <row r="22" spans="1:16">
      <c r="B22" s="18" t="s">
        <v>346</v>
      </c>
      <c r="C22" s="18">
        <v>5732</v>
      </c>
      <c r="D22" s="41">
        <f t="shared" ca="1" si="7"/>
        <v>164.35000000000002</v>
      </c>
      <c r="E22" s="41">
        <f t="shared" ca="1" si="7"/>
        <v>164.35000000000002</v>
      </c>
      <c r="F22" s="41">
        <f t="shared" ca="1" si="7"/>
        <v>164.35000000000002</v>
      </c>
      <c r="G22" s="41">
        <f t="shared" ca="1" si="7"/>
        <v>164.35000000000002</v>
      </c>
      <c r="H22" s="41">
        <f t="shared" ca="1" si="7"/>
        <v>164.35000000000002</v>
      </c>
      <c r="I22" s="41">
        <f t="shared" ca="1" si="7"/>
        <v>164.35000000000002</v>
      </c>
      <c r="J22" s="41">
        <f t="shared" ca="1" si="7"/>
        <v>164.35000000000002</v>
      </c>
      <c r="K22" s="41">
        <f t="shared" ca="1" si="7"/>
        <v>164.35000000000002</v>
      </c>
      <c r="L22" s="41">
        <f t="shared" ca="1" si="7"/>
        <v>164.35000000000002</v>
      </c>
      <c r="M22" s="41">
        <f t="shared" ca="1" si="7"/>
        <v>148.5</v>
      </c>
      <c r="N22" s="41">
        <f t="shared" ca="1" si="7"/>
        <v>136.6</v>
      </c>
      <c r="O22" s="41">
        <f t="shared" ca="1" si="7"/>
        <v>136.94999999999999</v>
      </c>
      <c r="P22" s="71">
        <f t="shared" ca="1" si="8"/>
        <v>1901.2</v>
      </c>
    </row>
    <row r="23" spans="1:16">
      <c r="B23" s="75" t="s">
        <v>370</v>
      </c>
      <c r="C23" s="75">
        <f>+C5</f>
        <v>2431</v>
      </c>
      <c r="D23" s="41">
        <f t="shared" ca="1" si="7"/>
        <v>0</v>
      </c>
      <c r="E23" s="41">
        <f t="shared" ca="1" si="7"/>
        <v>0</v>
      </c>
      <c r="F23" s="41">
        <f t="shared" ca="1" si="7"/>
        <v>0</v>
      </c>
      <c r="G23" s="41">
        <f t="shared" ca="1" si="7"/>
        <v>0</v>
      </c>
      <c r="H23" s="41">
        <f t="shared" ca="1" si="7"/>
        <v>0</v>
      </c>
      <c r="I23" s="41">
        <f t="shared" ca="1" si="7"/>
        <v>0</v>
      </c>
      <c r="J23" s="41">
        <f t="shared" ca="1" si="7"/>
        <v>0</v>
      </c>
      <c r="K23" s="41">
        <f t="shared" ca="1" si="7"/>
        <v>0</v>
      </c>
      <c r="L23" s="41">
        <f t="shared" ca="1" si="7"/>
        <v>0</v>
      </c>
      <c r="M23" s="41">
        <f t="shared" ca="1" si="7"/>
        <v>0</v>
      </c>
      <c r="N23" s="41">
        <f t="shared" ca="1" si="7"/>
        <v>0</v>
      </c>
      <c r="O23" s="41">
        <f t="shared" ca="1" si="7"/>
        <v>0</v>
      </c>
      <c r="P23" s="71">
        <f t="shared" ca="1" si="8"/>
        <v>0</v>
      </c>
    </row>
    <row r="24" spans="1:16">
      <c r="B24" s="22" t="s">
        <v>349</v>
      </c>
      <c r="C24" s="22">
        <v>5733</v>
      </c>
      <c r="D24" s="41">
        <f t="shared" ca="1" si="7"/>
        <v>97.050000000000011</v>
      </c>
      <c r="E24" s="41">
        <f t="shared" ca="1" si="7"/>
        <v>61.35</v>
      </c>
      <c r="F24" s="41">
        <f t="shared" ca="1" si="7"/>
        <v>61.4</v>
      </c>
      <c r="G24" s="41">
        <f t="shared" ca="1" si="7"/>
        <v>61.45</v>
      </c>
      <c r="H24" s="41">
        <f t="shared" ca="1" si="7"/>
        <v>61.35</v>
      </c>
      <c r="I24" s="41">
        <f t="shared" ca="1" si="7"/>
        <v>106.55</v>
      </c>
      <c r="J24" s="41">
        <f t="shared" ca="1" si="7"/>
        <v>102.15</v>
      </c>
      <c r="K24" s="41">
        <f t="shared" ca="1" si="7"/>
        <v>45.199999999999996</v>
      </c>
      <c r="L24" s="41">
        <f t="shared" ca="1" si="7"/>
        <v>45.199999999999996</v>
      </c>
      <c r="M24" s="41">
        <f t="shared" ca="1" si="7"/>
        <v>45.199999999999996</v>
      </c>
      <c r="N24" s="41">
        <f t="shared" ca="1" si="7"/>
        <v>45.199999999999996</v>
      </c>
      <c r="O24" s="41">
        <f t="shared" ca="1" si="7"/>
        <v>45.1</v>
      </c>
      <c r="P24" s="71">
        <f t="shared" ca="1" si="8"/>
        <v>777.20000000000027</v>
      </c>
    </row>
    <row r="25" spans="1:16">
      <c r="C25" s="70" t="s">
        <v>359</v>
      </c>
      <c r="D25" s="71">
        <f ca="1">SUM(D20:D24)</f>
        <v>381.00000000000006</v>
      </c>
      <c r="E25" s="71">
        <f t="shared" ref="E25:O25" ca="1" si="9">SUM(E20:E24)</f>
        <v>324.20000000000005</v>
      </c>
      <c r="F25" s="71">
        <f t="shared" ca="1" si="9"/>
        <v>324.2</v>
      </c>
      <c r="G25" s="71">
        <f t="shared" ca="1" si="9"/>
        <v>324.3</v>
      </c>
      <c r="H25" s="71">
        <f t="shared" ca="1" si="9"/>
        <v>324.20000000000005</v>
      </c>
      <c r="I25" s="71">
        <f t="shared" ca="1" si="9"/>
        <v>366.45000000000005</v>
      </c>
      <c r="J25" s="71">
        <f t="shared" ca="1" si="9"/>
        <v>357.65000000000003</v>
      </c>
      <c r="K25" s="71">
        <f t="shared" ca="1" si="9"/>
        <v>296.10000000000002</v>
      </c>
      <c r="L25" s="71">
        <f t="shared" ca="1" si="9"/>
        <v>307.3</v>
      </c>
      <c r="M25" s="71">
        <f t="shared" ca="1" si="9"/>
        <v>315.5</v>
      </c>
      <c r="N25" s="71">
        <f t="shared" ca="1" si="9"/>
        <v>303.34999999999997</v>
      </c>
      <c r="O25" s="71">
        <f t="shared" ca="1" si="9"/>
        <v>296.7</v>
      </c>
      <c r="P25" s="71">
        <f t="shared" ca="1" si="8"/>
        <v>3920.95</v>
      </c>
    </row>
    <row r="27" spans="1:16">
      <c r="C27" t="s">
        <v>358</v>
      </c>
      <c r="D27" s="40">
        <f ca="1">+D16-D25</f>
        <v>0</v>
      </c>
      <c r="E27" s="40">
        <f t="shared" ref="E27:P27" ca="1" si="10">+E16-E25</f>
        <v>0</v>
      </c>
      <c r="F27" s="40">
        <f t="shared" ca="1" si="10"/>
        <v>0</v>
      </c>
      <c r="G27" s="40">
        <f t="shared" ca="1" si="10"/>
        <v>0</v>
      </c>
      <c r="H27" s="40">
        <f t="shared" ca="1" si="10"/>
        <v>0</v>
      </c>
      <c r="I27" s="40">
        <f t="shared" ca="1" si="10"/>
        <v>0</v>
      </c>
      <c r="J27" s="40">
        <f t="shared" ca="1" si="10"/>
        <v>0</v>
      </c>
      <c r="K27" s="40">
        <f t="shared" ca="1" si="10"/>
        <v>0</v>
      </c>
      <c r="L27" s="40">
        <f t="shared" ca="1" si="10"/>
        <v>0</v>
      </c>
      <c r="M27" s="40">
        <f t="shared" ca="1" si="10"/>
        <v>0</v>
      </c>
      <c r="N27" s="40">
        <f t="shared" ca="1" si="10"/>
        <v>0</v>
      </c>
      <c r="O27" s="40">
        <f t="shared" ca="1" si="10"/>
        <v>0</v>
      </c>
      <c r="P27" s="40">
        <f t="shared" ca="1" si="10"/>
        <v>0</v>
      </c>
    </row>
    <row r="28" spans="1:16" ht="15.75" thickBot="1"/>
    <row r="29" spans="1:16">
      <c r="C29" s="91" t="s">
        <v>507</v>
      </c>
      <c r="D29" s="48">
        <f ca="1">+D25</f>
        <v>381.00000000000006</v>
      </c>
      <c r="E29" s="48">
        <f t="shared" ref="E29:O29" ca="1" si="11">+E25</f>
        <v>324.20000000000005</v>
      </c>
      <c r="F29" s="48">
        <f t="shared" ca="1" si="11"/>
        <v>324.2</v>
      </c>
      <c r="G29" s="48">
        <f t="shared" ca="1" si="11"/>
        <v>324.3</v>
      </c>
      <c r="H29" s="48">
        <f t="shared" ca="1" si="11"/>
        <v>324.20000000000005</v>
      </c>
      <c r="I29" s="48">
        <f t="shared" ca="1" si="11"/>
        <v>366.45000000000005</v>
      </c>
      <c r="J29" s="48">
        <f t="shared" ca="1" si="11"/>
        <v>357.65000000000003</v>
      </c>
      <c r="K29" s="48">
        <f t="shared" ca="1" si="11"/>
        <v>296.10000000000002</v>
      </c>
      <c r="L29" s="48">
        <f t="shared" ca="1" si="11"/>
        <v>307.3</v>
      </c>
      <c r="M29" s="48">
        <f t="shared" ca="1" si="11"/>
        <v>315.5</v>
      </c>
      <c r="N29" s="48">
        <f t="shared" ca="1" si="11"/>
        <v>303.34999999999997</v>
      </c>
      <c r="O29" s="48">
        <f t="shared" ca="1" si="11"/>
        <v>296.7</v>
      </c>
      <c r="P29" s="96">
        <f ca="1">+O29</f>
        <v>296.7</v>
      </c>
    </row>
    <row r="30" spans="1:16" ht="16.5" thickBot="1">
      <c r="C30" s="93">
        <v>2273</v>
      </c>
      <c r="D30" s="94">
        <f ca="1">D29</f>
        <v>381.00000000000006</v>
      </c>
      <c r="E30" s="94">
        <f ca="1">E29</f>
        <v>324.20000000000005</v>
      </c>
      <c r="F30" s="94">
        <f ca="1">F29</f>
        <v>324.2</v>
      </c>
      <c r="G30" s="94">
        <f t="shared" ref="G30:P30" ca="1" si="12">G29</f>
        <v>324.3</v>
      </c>
      <c r="H30" s="94">
        <f t="shared" ca="1" si="12"/>
        <v>324.20000000000005</v>
      </c>
      <c r="I30" s="94">
        <f t="shared" ca="1" si="12"/>
        <v>366.45000000000005</v>
      </c>
      <c r="J30" s="94">
        <f t="shared" ca="1" si="12"/>
        <v>357.65000000000003</v>
      </c>
      <c r="K30" s="94">
        <f t="shared" ca="1" si="12"/>
        <v>296.10000000000002</v>
      </c>
      <c r="L30" s="94">
        <f t="shared" ca="1" si="12"/>
        <v>307.3</v>
      </c>
      <c r="M30" s="94">
        <f t="shared" ca="1" si="12"/>
        <v>315.5</v>
      </c>
      <c r="N30" s="94">
        <f t="shared" ca="1" si="12"/>
        <v>303.34999999999997</v>
      </c>
      <c r="O30" s="94">
        <f t="shared" ca="1" si="12"/>
        <v>296.7</v>
      </c>
      <c r="P30" s="130">
        <f t="shared" ca="1" si="12"/>
        <v>296.7</v>
      </c>
    </row>
  </sheetData>
  <mergeCells count="13">
    <mergeCell ref="P1:P2"/>
    <mergeCell ref="J1:J2"/>
    <mergeCell ref="K1:K2"/>
    <mergeCell ref="L1:L2"/>
    <mergeCell ref="M1:M2"/>
    <mergeCell ref="N1:N2"/>
    <mergeCell ref="O1:O2"/>
    <mergeCell ref="I1:I2"/>
    <mergeCell ref="D1:D2"/>
    <mergeCell ref="E1:E2"/>
    <mergeCell ref="F1:F2"/>
    <mergeCell ref="G1:G2"/>
    <mergeCell ref="H1:H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387F-EE8C-45E2-A79C-2069A1F3E92A}">
  <sheetPr>
    <pageSetUpPr fitToPage="1"/>
  </sheetPr>
  <dimension ref="A1:P27"/>
  <sheetViews>
    <sheetView workbookViewId="0">
      <selection activeCell="O6" sqref="O6"/>
    </sheetView>
  </sheetViews>
  <sheetFormatPr baseColWidth="10" defaultRowHeight="15"/>
  <cols>
    <col min="2" max="2" width="12.7109375" bestFit="1" customWidth="1"/>
    <col min="4" max="6" width="12.85546875" bestFit="1" customWidth="1"/>
    <col min="7" max="14" width="11.5703125" bestFit="1" customWidth="1"/>
    <col min="15" max="15" width="13.28515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371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5732</v>
      </c>
      <c r="D3" s="119">
        <f t="shared" ref="D3:L3" si="0">7.9+50.45+16.5+0.35</f>
        <v>75.199999999999989</v>
      </c>
      <c r="E3" s="119">
        <f t="shared" si="0"/>
        <v>75.199999999999989</v>
      </c>
      <c r="F3" s="119">
        <f t="shared" si="0"/>
        <v>75.199999999999989</v>
      </c>
      <c r="G3" s="119">
        <f t="shared" si="0"/>
        <v>75.199999999999989</v>
      </c>
      <c r="H3" s="119">
        <f t="shared" si="0"/>
        <v>75.199999999999989</v>
      </c>
      <c r="I3" s="119">
        <f t="shared" si="0"/>
        <v>75.199999999999989</v>
      </c>
      <c r="J3" s="119">
        <f t="shared" si="0"/>
        <v>75.199999999999989</v>
      </c>
      <c r="K3" s="119">
        <f t="shared" si="0"/>
        <v>75.199999999999989</v>
      </c>
      <c r="L3" s="119">
        <f t="shared" si="0"/>
        <v>75.199999999999989</v>
      </c>
      <c r="M3" s="119">
        <f>7.9+50.45+16.5+0.35</f>
        <v>75.199999999999989</v>
      </c>
      <c r="N3" s="119">
        <f>7.9+50.45+16.5+0.35</f>
        <v>75.199999999999989</v>
      </c>
      <c r="O3" s="119">
        <f>7.95+50.45+16.65+0.45</f>
        <v>75.500000000000014</v>
      </c>
      <c r="P3" s="74">
        <f>SUM(D3:O3)</f>
        <v>902.7</v>
      </c>
    </row>
    <row r="4" spans="1:16">
      <c r="A4" s="18" t="s">
        <v>326</v>
      </c>
      <c r="B4" s="18" t="s">
        <v>346</v>
      </c>
      <c r="C4" s="18">
        <v>5732</v>
      </c>
      <c r="D4" s="119">
        <f t="shared" ref="D4:L4" si="1">7.9+50.45+16.5+30.1</f>
        <v>104.94999999999999</v>
      </c>
      <c r="E4" s="119">
        <f t="shared" si="1"/>
        <v>104.94999999999999</v>
      </c>
      <c r="F4" s="119">
        <f t="shared" si="1"/>
        <v>104.94999999999999</v>
      </c>
      <c r="G4" s="119">
        <f t="shared" si="1"/>
        <v>104.94999999999999</v>
      </c>
      <c r="H4" s="119">
        <f t="shared" si="1"/>
        <v>104.94999999999999</v>
      </c>
      <c r="I4" s="119">
        <f t="shared" si="1"/>
        <v>104.94999999999999</v>
      </c>
      <c r="J4" s="119">
        <f t="shared" si="1"/>
        <v>104.94999999999999</v>
      </c>
      <c r="K4" s="119">
        <f t="shared" si="1"/>
        <v>104.94999999999999</v>
      </c>
      <c r="L4" s="119">
        <f t="shared" si="1"/>
        <v>104.94999999999999</v>
      </c>
      <c r="M4" s="119">
        <f>7.9+50.45+16.5+14.25</f>
        <v>89.1</v>
      </c>
      <c r="N4" s="119">
        <f>7.9+50.45+16.5+2.35</f>
        <v>77.199999999999989</v>
      </c>
      <c r="O4" s="119">
        <f>7.95+50.45+16.65+2.3</f>
        <v>77.350000000000009</v>
      </c>
      <c r="P4" s="74">
        <f t="shared" ref="P4:P16" si="2">SUM(D4:O4)</f>
        <v>1188.2</v>
      </c>
    </row>
    <row r="5" spans="1:16">
      <c r="A5" s="75" t="s">
        <v>327</v>
      </c>
      <c r="B5" s="75" t="s">
        <v>370</v>
      </c>
      <c r="C5" s="75">
        <v>2431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74">
        <f t="shared" si="2"/>
        <v>0</v>
      </c>
    </row>
    <row r="6" spans="1:16">
      <c r="A6" s="19" t="s">
        <v>328</v>
      </c>
      <c r="B6" s="19" t="s">
        <v>348</v>
      </c>
      <c r="C6" s="19">
        <v>5730</v>
      </c>
      <c r="D6" s="119">
        <f>6.45+41.2+13.5</f>
        <v>61.150000000000006</v>
      </c>
      <c r="E6" s="119">
        <f t="shared" ref="E6:M6" si="3">4.85+31+10.15</f>
        <v>46</v>
      </c>
      <c r="F6" s="119">
        <f t="shared" si="3"/>
        <v>46</v>
      </c>
      <c r="G6" s="119">
        <f t="shared" si="3"/>
        <v>46</v>
      </c>
      <c r="H6" s="119">
        <f t="shared" si="3"/>
        <v>46</v>
      </c>
      <c r="I6" s="119">
        <f t="shared" si="3"/>
        <v>46</v>
      </c>
      <c r="J6" s="119">
        <f t="shared" si="3"/>
        <v>46</v>
      </c>
      <c r="K6" s="119">
        <f t="shared" si="3"/>
        <v>46</v>
      </c>
      <c r="L6" s="119">
        <f t="shared" si="3"/>
        <v>46</v>
      </c>
      <c r="M6" s="119">
        <f t="shared" si="3"/>
        <v>46</v>
      </c>
      <c r="N6" s="119">
        <f>4.85+30.75+10.15</f>
        <v>45.75</v>
      </c>
      <c r="O6" s="119">
        <f>4.9+31+10</f>
        <v>45.9</v>
      </c>
      <c r="P6" s="74">
        <f t="shared" si="2"/>
        <v>566.79999999999995</v>
      </c>
    </row>
    <row r="7" spans="1:16">
      <c r="A7" s="20" t="s">
        <v>329</v>
      </c>
      <c r="B7" s="20" t="s">
        <v>347</v>
      </c>
      <c r="C7" s="20">
        <v>5731</v>
      </c>
      <c r="D7" s="119">
        <f>5.25+33.35+10.9</f>
        <v>49.5</v>
      </c>
      <c r="E7" s="119">
        <f t="shared" ref="E7:L7" si="4">3.95+25.2+8.25</f>
        <v>37.4</v>
      </c>
      <c r="F7" s="119">
        <f t="shared" si="4"/>
        <v>37.4</v>
      </c>
      <c r="G7" s="119">
        <f t="shared" si="4"/>
        <v>37.4</v>
      </c>
      <c r="H7" s="119">
        <f t="shared" si="4"/>
        <v>37.4</v>
      </c>
      <c r="I7" s="119">
        <f t="shared" si="4"/>
        <v>37.4</v>
      </c>
      <c r="J7" s="119">
        <f t="shared" si="4"/>
        <v>37.4</v>
      </c>
      <c r="K7" s="119">
        <f t="shared" si="4"/>
        <v>37.4</v>
      </c>
      <c r="L7" s="119">
        <f t="shared" si="4"/>
        <v>37.4</v>
      </c>
      <c r="M7" s="119">
        <f>3.95+25.2+8.25</f>
        <v>37.4</v>
      </c>
      <c r="N7" s="119">
        <f>3.95+25.2+8.25</f>
        <v>37.4</v>
      </c>
      <c r="O7" s="119">
        <f>3.9+25.1+8.2</f>
        <v>37.200000000000003</v>
      </c>
      <c r="P7" s="74">
        <f t="shared" si="2"/>
        <v>460.69999999999993</v>
      </c>
    </row>
    <row r="8" spans="1:16">
      <c r="A8" s="21" t="s">
        <v>496</v>
      </c>
      <c r="B8" s="21" t="s">
        <v>348</v>
      </c>
      <c r="C8" s="21">
        <v>5730</v>
      </c>
      <c r="D8" s="124">
        <f>0.9+5.85+1.9</f>
        <v>8.65</v>
      </c>
      <c r="E8" s="119">
        <f>1.4+9+2.95</f>
        <v>13.350000000000001</v>
      </c>
      <c r="F8" s="119">
        <f>1.4+9+2.95</f>
        <v>13.350000000000001</v>
      </c>
      <c r="G8" s="119">
        <f>1.4+9+2.95</f>
        <v>13.350000000000001</v>
      </c>
      <c r="H8" s="119">
        <f>1.4+9+2.95</f>
        <v>13.350000000000001</v>
      </c>
      <c r="I8" s="119">
        <f>1.4+9+2.95</f>
        <v>13.350000000000001</v>
      </c>
      <c r="J8" s="119">
        <f>0.6+3.45+1.15</f>
        <v>5.1999999999999993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74">
        <f t="shared" si="2"/>
        <v>80.600000000000009</v>
      </c>
    </row>
    <row r="9" spans="1:16">
      <c r="A9" s="21" t="s">
        <v>330</v>
      </c>
      <c r="B9" s="21" t="s">
        <v>348</v>
      </c>
      <c r="C9" s="21">
        <v>5730</v>
      </c>
      <c r="D9" s="119">
        <f>1.4+9+2.95</f>
        <v>13.350000000000001</v>
      </c>
      <c r="E9" s="119">
        <f>1.4+9+2.95</f>
        <v>13.350000000000001</v>
      </c>
      <c r="F9" s="119">
        <f>0.7+4.25+1.4</f>
        <v>6.35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74">
        <f t="shared" si="2"/>
        <v>33.050000000000004</v>
      </c>
    </row>
    <row r="10" spans="1:16">
      <c r="A10" s="21" t="s">
        <v>504</v>
      </c>
      <c r="B10" s="21" t="s">
        <v>348</v>
      </c>
      <c r="C10" s="21">
        <v>5730</v>
      </c>
      <c r="D10" s="124">
        <f>0.1+0.7+0.25</f>
        <v>1.0499999999999998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74">
        <f t="shared" si="2"/>
        <v>1.0499999999999998</v>
      </c>
    </row>
    <row r="11" spans="1:16">
      <c r="A11" s="21" t="s">
        <v>506</v>
      </c>
      <c r="B11" s="21" t="s">
        <v>348</v>
      </c>
      <c r="C11" s="21">
        <v>5730</v>
      </c>
      <c r="D11" s="119">
        <v>0</v>
      </c>
      <c r="E11" s="119">
        <v>0</v>
      </c>
      <c r="F11" s="119">
        <f>0.75+4.7+1.55</f>
        <v>7</v>
      </c>
      <c r="G11" s="119">
        <f>1.4+9+2.95</f>
        <v>13.350000000000001</v>
      </c>
      <c r="H11" s="119">
        <f>1.4+9+2.95</f>
        <v>13.350000000000001</v>
      </c>
      <c r="I11" s="119">
        <f>0.35+2.1+0.65</f>
        <v>3.1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74">
        <f t="shared" si="2"/>
        <v>36.800000000000004</v>
      </c>
    </row>
    <row r="12" spans="1:16">
      <c r="A12" s="21" t="s">
        <v>509</v>
      </c>
      <c r="B12" s="21" t="s">
        <v>348</v>
      </c>
      <c r="C12" s="21">
        <v>5730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f>0.75+4.7+1.55</f>
        <v>7</v>
      </c>
      <c r="J12" s="119">
        <f>1.4+9+2.95</f>
        <v>13.350000000000001</v>
      </c>
      <c r="K12" s="119">
        <f>1.4+9+2.95</f>
        <v>13.350000000000001</v>
      </c>
      <c r="L12" s="119">
        <f>1.4+9+2.95</f>
        <v>13.350000000000001</v>
      </c>
      <c r="M12" s="119">
        <f>1.4+9+2.95</f>
        <v>13.350000000000001</v>
      </c>
      <c r="N12" s="119">
        <f>1.4+9+2.95</f>
        <v>13.350000000000001</v>
      </c>
      <c r="O12" s="119">
        <f>0.65+3.85+1.25</f>
        <v>5.75</v>
      </c>
      <c r="P12" s="74">
        <f t="shared" si="2"/>
        <v>79.5</v>
      </c>
    </row>
    <row r="13" spans="1:16">
      <c r="A13" s="19" t="s">
        <v>511</v>
      </c>
      <c r="B13" s="19" t="s">
        <v>348</v>
      </c>
      <c r="C13" s="19">
        <v>5730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f>1.3+8.45+2.75</f>
        <v>12.5</v>
      </c>
      <c r="M13" s="119">
        <f>4.15+26.55+8.7</f>
        <v>39.400000000000006</v>
      </c>
      <c r="N13" s="119">
        <f>4.15+26.55+8.7</f>
        <v>39.400000000000006</v>
      </c>
      <c r="O13" s="119">
        <f>4.2+26.55+8.7</f>
        <v>39.450000000000003</v>
      </c>
      <c r="P13" s="74">
        <f t="shared" si="2"/>
        <v>130.75</v>
      </c>
    </row>
    <row r="14" spans="1:16">
      <c r="A14" s="22" t="s">
        <v>508</v>
      </c>
      <c r="B14" s="22" t="s">
        <v>349</v>
      </c>
      <c r="C14" s="22">
        <v>5733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f t="shared" ref="I14:N14" si="5">5.35+34.05+11.15</f>
        <v>50.55</v>
      </c>
      <c r="J14" s="119">
        <f t="shared" si="5"/>
        <v>50.55</v>
      </c>
      <c r="K14" s="119">
        <f t="shared" si="5"/>
        <v>50.55</v>
      </c>
      <c r="L14" s="119">
        <f t="shared" si="5"/>
        <v>50.55</v>
      </c>
      <c r="M14" s="119">
        <f t="shared" si="5"/>
        <v>50.55</v>
      </c>
      <c r="N14" s="119">
        <f t="shared" si="5"/>
        <v>50.55</v>
      </c>
      <c r="O14" s="119">
        <f>5.25+34+11.1</f>
        <v>50.35</v>
      </c>
      <c r="P14" s="74">
        <f t="shared" si="2"/>
        <v>353.65000000000003</v>
      </c>
    </row>
    <row r="15" spans="1:16">
      <c r="A15" s="22" t="s">
        <v>331</v>
      </c>
      <c r="B15" s="22" t="s">
        <v>349</v>
      </c>
      <c r="C15" s="22">
        <v>5733</v>
      </c>
      <c r="D15" s="119">
        <f>7.9+50.45+16.5+30.1</f>
        <v>104.94999999999999</v>
      </c>
      <c r="E15" s="119">
        <f>7.9+50.45+16.5-5.6</f>
        <v>69.25</v>
      </c>
      <c r="F15" s="119">
        <f>7.9+50.45+16.55-5.6</f>
        <v>69.300000000000011</v>
      </c>
      <c r="G15" s="119">
        <f>7.9+50.45+16.55-5.55</f>
        <v>69.350000000000009</v>
      </c>
      <c r="H15" s="119">
        <f>7.9+50.45+16.55-5.55</f>
        <v>69.350000000000009</v>
      </c>
      <c r="I15" s="119">
        <f>7.9+50.45+16.55-5.55</f>
        <v>69.350000000000009</v>
      </c>
      <c r="J15" s="119">
        <f>7+44.5+14.6-2.15</f>
        <v>63.949999999999996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74">
        <f t="shared" si="2"/>
        <v>515.50000000000011</v>
      </c>
    </row>
    <row r="16" spans="1:16">
      <c r="D16" s="24">
        <f t="shared" ref="D16:L16" si="6">SUM(D3:D15)</f>
        <v>418.79999999999995</v>
      </c>
      <c r="E16" s="24">
        <f t="shared" si="6"/>
        <v>359.5</v>
      </c>
      <c r="F16" s="24">
        <f t="shared" si="6"/>
        <v>359.55</v>
      </c>
      <c r="G16" s="24">
        <f t="shared" si="6"/>
        <v>359.6</v>
      </c>
      <c r="H16" s="24">
        <f t="shared" si="6"/>
        <v>359.6</v>
      </c>
      <c r="I16" s="24">
        <f t="shared" si="6"/>
        <v>406.90000000000003</v>
      </c>
      <c r="J16" s="24">
        <f t="shared" si="6"/>
        <v>396.59999999999997</v>
      </c>
      <c r="K16" s="24">
        <f t="shared" si="6"/>
        <v>327.45</v>
      </c>
      <c r="L16" s="24">
        <f t="shared" si="6"/>
        <v>339.95</v>
      </c>
      <c r="M16" s="24">
        <f>SUM(M3:M15)</f>
        <v>351.00000000000006</v>
      </c>
      <c r="N16" s="24">
        <f>SUM(N3:N15)</f>
        <v>338.84999999999997</v>
      </c>
      <c r="O16" s="24">
        <f>SUM(O3:O15)</f>
        <v>331.50000000000006</v>
      </c>
      <c r="P16" s="73">
        <f t="shared" si="2"/>
        <v>4349.2999999999993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4349.2999999999993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5730</v>
      </c>
      <c r="D20" s="41">
        <f ca="1">SUMIF($C$3:$O$15,$C20,D$3:D$15)</f>
        <v>84.2</v>
      </c>
      <c r="E20" s="41">
        <f t="shared" ref="D20:O24" ca="1" si="7">SUMIF($C$3:$O$15,$C20,E$3:E$15)</f>
        <v>72.7</v>
      </c>
      <c r="F20" s="41">
        <f t="shared" ca="1" si="7"/>
        <v>72.7</v>
      </c>
      <c r="G20" s="41">
        <f t="shared" ca="1" si="7"/>
        <v>72.7</v>
      </c>
      <c r="H20" s="41">
        <f t="shared" ca="1" si="7"/>
        <v>72.7</v>
      </c>
      <c r="I20" s="41">
        <f t="shared" ca="1" si="7"/>
        <v>69.45</v>
      </c>
      <c r="J20" s="41">
        <f t="shared" ca="1" si="7"/>
        <v>64.550000000000011</v>
      </c>
      <c r="K20" s="41">
        <f t="shared" ca="1" si="7"/>
        <v>59.35</v>
      </c>
      <c r="L20" s="41">
        <f t="shared" ca="1" si="7"/>
        <v>71.849999999999994</v>
      </c>
      <c r="M20" s="41">
        <f t="shared" ca="1" si="7"/>
        <v>98.75</v>
      </c>
      <c r="N20" s="41">
        <f t="shared" ca="1" si="7"/>
        <v>98.5</v>
      </c>
      <c r="O20" s="41">
        <f t="shared" ca="1" si="7"/>
        <v>91.1</v>
      </c>
      <c r="P20" s="71">
        <f ca="1">SUM(D20:O20)</f>
        <v>928.55000000000007</v>
      </c>
    </row>
    <row r="21" spans="1:16">
      <c r="B21" s="20" t="s">
        <v>347</v>
      </c>
      <c r="C21" s="20">
        <v>5731</v>
      </c>
      <c r="D21" s="41">
        <f t="shared" ca="1" si="7"/>
        <v>49.5</v>
      </c>
      <c r="E21" s="41">
        <f t="shared" ca="1" si="7"/>
        <v>37.4</v>
      </c>
      <c r="F21" s="41">
        <f t="shared" ca="1" si="7"/>
        <v>37.4</v>
      </c>
      <c r="G21" s="41">
        <f t="shared" ca="1" si="7"/>
        <v>37.4</v>
      </c>
      <c r="H21" s="41">
        <f t="shared" ca="1" si="7"/>
        <v>37.4</v>
      </c>
      <c r="I21" s="41">
        <f t="shared" ca="1" si="7"/>
        <v>37.4</v>
      </c>
      <c r="J21" s="41">
        <f t="shared" ca="1" si="7"/>
        <v>37.4</v>
      </c>
      <c r="K21" s="41">
        <f t="shared" ca="1" si="7"/>
        <v>37.4</v>
      </c>
      <c r="L21" s="41">
        <f t="shared" ca="1" si="7"/>
        <v>37.4</v>
      </c>
      <c r="M21" s="41">
        <f t="shared" ca="1" si="7"/>
        <v>37.4</v>
      </c>
      <c r="N21" s="41">
        <f t="shared" ca="1" si="7"/>
        <v>37.4</v>
      </c>
      <c r="O21" s="41">
        <f t="shared" ca="1" si="7"/>
        <v>37.200000000000003</v>
      </c>
      <c r="P21" s="71">
        <f t="shared" ref="P21:P25" ca="1" si="8">SUM(D21:O21)</f>
        <v>460.69999999999993</v>
      </c>
    </row>
    <row r="22" spans="1:16">
      <c r="B22" s="18" t="s">
        <v>346</v>
      </c>
      <c r="C22" s="18">
        <v>5732</v>
      </c>
      <c r="D22" s="41">
        <f t="shared" ca="1" si="7"/>
        <v>180.14999999999998</v>
      </c>
      <c r="E22" s="41">
        <f t="shared" ca="1" si="7"/>
        <v>180.14999999999998</v>
      </c>
      <c r="F22" s="41">
        <f t="shared" ca="1" si="7"/>
        <v>180.14999999999998</v>
      </c>
      <c r="G22" s="41">
        <f t="shared" ca="1" si="7"/>
        <v>180.14999999999998</v>
      </c>
      <c r="H22" s="41">
        <f t="shared" ca="1" si="7"/>
        <v>180.14999999999998</v>
      </c>
      <c r="I22" s="41">
        <f t="shared" ca="1" si="7"/>
        <v>180.14999999999998</v>
      </c>
      <c r="J22" s="41">
        <f t="shared" ca="1" si="7"/>
        <v>180.14999999999998</v>
      </c>
      <c r="K22" s="41">
        <f t="shared" ca="1" si="7"/>
        <v>180.14999999999998</v>
      </c>
      <c r="L22" s="41">
        <f t="shared" ca="1" si="7"/>
        <v>180.14999999999998</v>
      </c>
      <c r="M22" s="41">
        <f t="shared" ca="1" si="7"/>
        <v>164.29999999999998</v>
      </c>
      <c r="N22" s="41">
        <f t="shared" ca="1" si="7"/>
        <v>152.39999999999998</v>
      </c>
      <c r="O22" s="41">
        <f t="shared" ca="1" si="7"/>
        <v>152.85000000000002</v>
      </c>
      <c r="P22" s="71">
        <f t="shared" ca="1" si="8"/>
        <v>2090.8999999999996</v>
      </c>
    </row>
    <row r="23" spans="1:16">
      <c r="B23" s="75" t="s">
        <v>370</v>
      </c>
      <c r="C23" s="75">
        <f>+C5</f>
        <v>2431</v>
      </c>
      <c r="D23" s="41">
        <f t="shared" ca="1" si="7"/>
        <v>0</v>
      </c>
      <c r="E23" s="41">
        <f t="shared" ca="1" si="7"/>
        <v>0</v>
      </c>
      <c r="F23" s="41">
        <f t="shared" ca="1" si="7"/>
        <v>0</v>
      </c>
      <c r="G23" s="41">
        <f t="shared" ca="1" si="7"/>
        <v>0</v>
      </c>
      <c r="H23" s="41">
        <f t="shared" ca="1" si="7"/>
        <v>0</v>
      </c>
      <c r="I23" s="41">
        <f t="shared" ca="1" si="7"/>
        <v>0</v>
      </c>
      <c r="J23" s="41">
        <f t="shared" ca="1" si="7"/>
        <v>0</v>
      </c>
      <c r="K23" s="41">
        <f t="shared" ca="1" si="7"/>
        <v>0</v>
      </c>
      <c r="L23" s="41">
        <f t="shared" ca="1" si="7"/>
        <v>0</v>
      </c>
      <c r="M23" s="41">
        <f t="shared" ca="1" si="7"/>
        <v>0</v>
      </c>
      <c r="N23" s="41">
        <f t="shared" ca="1" si="7"/>
        <v>0</v>
      </c>
      <c r="O23" s="41">
        <f t="shared" ca="1" si="7"/>
        <v>0</v>
      </c>
      <c r="P23" s="71">
        <f t="shared" ca="1" si="8"/>
        <v>0</v>
      </c>
    </row>
    <row r="24" spans="1:16">
      <c r="B24" s="22" t="s">
        <v>349</v>
      </c>
      <c r="C24" s="22">
        <v>5733</v>
      </c>
      <c r="D24" s="41">
        <f t="shared" ca="1" si="7"/>
        <v>104.94999999999999</v>
      </c>
      <c r="E24" s="41">
        <f t="shared" ca="1" si="7"/>
        <v>69.25</v>
      </c>
      <c r="F24" s="41">
        <f t="shared" ca="1" si="7"/>
        <v>69.300000000000011</v>
      </c>
      <c r="G24" s="41">
        <f t="shared" ca="1" si="7"/>
        <v>69.350000000000009</v>
      </c>
      <c r="H24" s="41">
        <f t="shared" ca="1" si="7"/>
        <v>69.350000000000009</v>
      </c>
      <c r="I24" s="41">
        <f t="shared" ca="1" si="7"/>
        <v>119.9</v>
      </c>
      <c r="J24" s="41">
        <f t="shared" ca="1" si="7"/>
        <v>114.5</v>
      </c>
      <c r="K24" s="41">
        <f t="shared" ca="1" si="7"/>
        <v>50.55</v>
      </c>
      <c r="L24" s="41">
        <f t="shared" ca="1" si="7"/>
        <v>50.55</v>
      </c>
      <c r="M24" s="41">
        <f t="shared" ca="1" si="7"/>
        <v>50.55</v>
      </c>
      <c r="N24" s="41">
        <f t="shared" ca="1" si="7"/>
        <v>50.55</v>
      </c>
      <c r="O24" s="41">
        <f t="shared" ca="1" si="7"/>
        <v>50.35</v>
      </c>
      <c r="P24" s="71">
        <f t="shared" ca="1" si="8"/>
        <v>869.14999999999986</v>
      </c>
    </row>
    <row r="25" spans="1:16">
      <c r="C25" s="70" t="s">
        <v>359</v>
      </c>
      <c r="D25" s="71">
        <f ca="1">SUM(D20:D24)</f>
        <v>418.79999999999995</v>
      </c>
      <c r="E25" s="71">
        <f t="shared" ref="E25:O25" ca="1" si="9">SUM(E20:E24)</f>
        <v>359.5</v>
      </c>
      <c r="F25" s="71">
        <f t="shared" ca="1" si="9"/>
        <v>359.55</v>
      </c>
      <c r="G25" s="71">
        <f t="shared" ca="1" si="9"/>
        <v>359.6</v>
      </c>
      <c r="H25" s="71">
        <f t="shared" ca="1" si="9"/>
        <v>359.6</v>
      </c>
      <c r="I25" s="71">
        <f t="shared" ca="1" si="9"/>
        <v>406.9</v>
      </c>
      <c r="J25" s="71">
        <f t="shared" ca="1" si="9"/>
        <v>396.6</v>
      </c>
      <c r="K25" s="71">
        <f t="shared" ca="1" si="9"/>
        <v>327.45</v>
      </c>
      <c r="L25" s="71">
        <f t="shared" ca="1" si="9"/>
        <v>339.95</v>
      </c>
      <c r="M25" s="71">
        <f t="shared" ca="1" si="9"/>
        <v>351</v>
      </c>
      <c r="N25" s="71">
        <f t="shared" ca="1" si="9"/>
        <v>338.84999999999997</v>
      </c>
      <c r="O25" s="71">
        <f t="shared" ca="1" si="9"/>
        <v>331.50000000000006</v>
      </c>
      <c r="P25" s="71">
        <f t="shared" ca="1" si="8"/>
        <v>4349.2999999999993</v>
      </c>
    </row>
    <row r="27" spans="1:16">
      <c r="C27" t="s">
        <v>358</v>
      </c>
      <c r="D27" s="40">
        <f ca="1">+D16-D25</f>
        <v>0</v>
      </c>
      <c r="E27" s="40">
        <f t="shared" ref="E27:P27" ca="1" si="10">+E16-E25</f>
        <v>0</v>
      </c>
      <c r="F27" s="40">
        <f t="shared" ca="1" si="10"/>
        <v>0</v>
      </c>
      <c r="G27" s="40">
        <f t="shared" ca="1" si="10"/>
        <v>0</v>
      </c>
      <c r="H27" s="40">
        <f t="shared" ca="1" si="10"/>
        <v>0</v>
      </c>
      <c r="I27" s="40">
        <f t="shared" ca="1" si="10"/>
        <v>0</v>
      </c>
      <c r="J27" s="40">
        <f t="shared" ca="1" si="10"/>
        <v>0</v>
      </c>
      <c r="K27" s="40">
        <f t="shared" ca="1" si="10"/>
        <v>0</v>
      </c>
      <c r="L27" s="40">
        <f t="shared" ca="1" si="10"/>
        <v>0</v>
      </c>
      <c r="M27" s="40">
        <f t="shared" ca="1" si="10"/>
        <v>0</v>
      </c>
      <c r="N27" s="40">
        <f t="shared" ca="1" si="10"/>
        <v>0</v>
      </c>
      <c r="O27" s="40">
        <f t="shared" ca="1" si="10"/>
        <v>0</v>
      </c>
      <c r="P27" s="40">
        <f t="shared" ca="1" si="10"/>
        <v>0</v>
      </c>
    </row>
  </sheetData>
  <mergeCells count="13">
    <mergeCell ref="I1:I2"/>
    <mergeCell ref="D1:D2"/>
    <mergeCell ref="E1:E2"/>
    <mergeCell ref="F1:F2"/>
    <mergeCell ref="G1:G2"/>
    <mergeCell ref="H1:H2"/>
    <mergeCell ref="P1:P2"/>
    <mergeCell ref="J1:J2"/>
    <mergeCell ref="K1:K2"/>
    <mergeCell ref="L1:L2"/>
    <mergeCell ref="M1:M2"/>
    <mergeCell ref="N1:N2"/>
    <mergeCell ref="O1:O2"/>
  </mergeCells>
  <pageMargins left="0.7" right="0.7" top="0.75" bottom="0.75" header="0.3" footer="0.3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6AA3-9614-44E9-9093-27B75C123584}">
  <sheetPr>
    <pageSetUpPr fitToPage="1"/>
  </sheetPr>
  <dimension ref="A1:P30"/>
  <sheetViews>
    <sheetView workbookViewId="0">
      <selection activeCell="O7" sqref="O7"/>
    </sheetView>
  </sheetViews>
  <sheetFormatPr baseColWidth="10" defaultRowHeight="15"/>
  <cols>
    <col min="4" max="14" width="12.85546875" bestFit="1" customWidth="1"/>
    <col min="15" max="15" width="14.140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368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5742</v>
      </c>
      <c r="D3" s="23">
        <v>51.25</v>
      </c>
      <c r="E3" s="23">
        <v>51.25</v>
      </c>
      <c r="F3" s="23">
        <v>51.25</v>
      </c>
      <c r="G3" s="23">
        <v>51.25</v>
      </c>
      <c r="H3" s="23">
        <v>51.25</v>
      </c>
      <c r="I3" s="23">
        <v>51.25</v>
      </c>
      <c r="J3" s="23">
        <v>51.25</v>
      </c>
      <c r="K3" s="23">
        <v>51.25</v>
      </c>
      <c r="L3" s="23">
        <v>51.25</v>
      </c>
      <c r="M3" s="23">
        <v>51.25</v>
      </c>
      <c r="N3" s="23">
        <v>51.25</v>
      </c>
      <c r="O3" s="23">
        <v>51.25</v>
      </c>
      <c r="P3" s="74">
        <f>SUM(D3:O3)</f>
        <v>615</v>
      </c>
    </row>
    <row r="4" spans="1:16">
      <c r="A4" s="18" t="s">
        <v>326</v>
      </c>
      <c r="B4" s="18" t="s">
        <v>346</v>
      </c>
      <c r="C4" s="18">
        <v>5742</v>
      </c>
      <c r="D4" s="23">
        <v>102.5</v>
      </c>
      <c r="E4" s="23">
        <v>102.5</v>
      </c>
      <c r="F4" s="23">
        <v>102.5</v>
      </c>
      <c r="G4" s="23">
        <v>102.5</v>
      </c>
      <c r="H4" s="23">
        <v>102.5</v>
      </c>
      <c r="I4" s="23">
        <v>102.5</v>
      </c>
      <c r="J4" s="23">
        <v>102.5</v>
      </c>
      <c r="K4" s="23">
        <v>102.5</v>
      </c>
      <c r="L4" s="23">
        <v>102.5</v>
      </c>
      <c r="M4" s="23">
        <v>75.150000000000006</v>
      </c>
      <c r="N4" s="23">
        <v>54.65</v>
      </c>
      <c r="O4" s="23">
        <v>54.7</v>
      </c>
      <c r="P4" s="74">
        <f t="shared" ref="P4:P16" si="0">SUM(D4:O4)</f>
        <v>1107</v>
      </c>
    </row>
    <row r="5" spans="1:16">
      <c r="A5" s="75" t="s">
        <v>327</v>
      </c>
      <c r="B5" s="75" t="s">
        <v>370</v>
      </c>
      <c r="C5" s="75">
        <v>2431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74">
        <f t="shared" si="0"/>
        <v>0</v>
      </c>
    </row>
    <row r="6" spans="1:16">
      <c r="A6" s="19" t="s">
        <v>328</v>
      </c>
      <c r="B6" s="19" t="s">
        <v>348</v>
      </c>
      <c r="C6" s="19">
        <v>5740</v>
      </c>
      <c r="D6" s="23">
        <v>41.35</v>
      </c>
      <c r="E6" s="23">
        <v>31.1</v>
      </c>
      <c r="F6" s="23">
        <v>31.1</v>
      </c>
      <c r="G6" s="23">
        <v>31.1</v>
      </c>
      <c r="H6" s="23">
        <v>31.1</v>
      </c>
      <c r="I6" s="23">
        <v>31.1</v>
      </c>
      <c r="J6" s="23">
        <v>31.1</v>
      </c>
      <c r="K6" s="23">
        <v>31.1</v>
      </c>
      <c r="L6" s="23">
        <v>31.1</v>
      </c>
      <c r="M6" s="23">
        <v>31.1</v>
      </c>
      <c r="N6" s="23">
        <v>31.1</v>
      </c>
      <c r="O6" s="23">
        <v>31</v>
      </c>
      <c r="P6" s="74">
        <f t="shared" si="0"/>
        <v>383.35000000000008</v>
      </c>
    </row>
    <row r="7" spans="1:16">
      <c r="A7" s="20" t="s">
        <v>329</v>
      </c>
      <c r="B7" s="20" t="s">
        <v>347</v>
      </c>
      <c r="C7" s="20">
        <v>5741</v>
      </c>
      <c r="D7" s="23">
        <v>33.5</v>
      </c>
      <c r="E7" s="23">
        <v>25.3</v>
      </c>
      <c r="F7" s="23">
        <v>25.3</v>
      </c>
      <c r="G7" s="23">
        <v>25.3</v>
      </c>
      <c r="H7" s="23">
        <v>25.3</v>
      </c>
      <c r="I7" s="23">
        <v>25.3</v>
      </c>
      <c r="J7" s="23">
        <v>25.3</v>
      </c>
      <c r="K7" s="23">
        <v>25.3</v>
      </c>
      <c r="L7" s="23">
        <v>25.3</v>
      </c>
      <c r="M7" s="23">
        <v>25.3</v>
      </c>
      <c r="N7" s="23">
        <v>25.3</v>
      </c>
      <c r="O7" s="23">
        <v>25.1</v>
      </c>
      <c r="P7" s="74">
        <f t="shared" si="0"/>
        <v>311.60000000000008</v>
      </c>
    </row>
    <row r="8" spans="1:16">
      <c r="A8" s="21" t="s">
        <v>496</v>
      </c>
      <c r="B8" s="21" t="s">
        <v>348</v>
      </c>
      <c r="C8" s="21">
        <v>5740</v>
      </c>
      <c r="D8" s="23">
        <v>5.9</v>
      </c>
      <c r="E8" s="23">
        <v>9</v>
      </c>
      <c r="F8" s="23">
        <v>9</v>
      </c>
      <c r="G8" s="23">
        <v>9</v>
      </c>
      <c r="H8" s="23">
        <v>9</v>
      </c>
      <c r="I8" s="23">
        <v>9</v>
      </c>
      <c r="J8" s="23">
        <v>3.6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74">
        <f t="shared" si="0"/>
        <v>54.5</v>
      </c>
    </row>
    <row r="9" spans="1:16">
      <c r="A9" s="21" t="s">
        <v>330</v>
      </c>
      <c r="B9" s="21" t="s">
        <v>348</v>
      </c>
      <c r="C9" s="21">
        <v>5740</v>
      </c>
      <c r="D9" s="23">
        <v>9</v>
      </c>
      <c r="E9" s="23">
        <v>9</v>
      </c>
      <c r="F9" s="23">
        <v>4.3499999999999996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74">
        <f t="shared" si="0"/>
        <v>22.35</v>
      </c>
    </row>
    <row r="10" spans="1:16">
      <c r="A10" s="21" t="s">
        <v>504</v>
      </c>
      <c r="B10" s="21" t="s">
        <v>348</v>
      </c>
      <c r="C10" s="21">
        <v>5740</v>
      </c>
      <c r="D10" s="23">
        <v>0.7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74">
        <f t="shared" si="0"/>
        <v>0.7</v>
      </c>
    </row>
    <row r="11" spans="1:16">
      <c r="A11" s="21" t="s">
        <v>506</v>
      </c>
      <c r="B11" s="21" t="s">
        <v>348</v>
      </c>
      <c r="C11" s="21">
        <v>5740</v>
      </c>
      <c r="D11" s="23">
        <v>0</v>
      </c>
      <c r="E11" s="23">
        <v>0</v>
      </c>
      <c r="F11" s="23">
        <v>4.7</v>
      </c>
      <c r="G11" s="23">
        <v>9</v>
      </c>
      <c r="H11" s="23">
        <v>9</v>
      </c>
      <c r="I11" s="23">
        <v>2.2000000000000002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74">
        <f t="shared" si="0"/>
        <v>24.9</v>
      </c>
    </row>
    <row r="12" spans="1:16">
      <c r="A12" s="21" t="s">
        <v>509</v>
      </c>
      <c r="B12" s="21" t="s">
        <v>348</v>
      </c>
      <c r="C12" s="21">
        <v>5740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4.7</v>
      </c>
      <c r="J12" s="23">
        <v>9</v>
      </c>
      <c r="K12" s="23">
        <v>9</v>
      </c>
      <c r="L12" s="23">
        <v>9</v>
      </c>
      <c r="M12" s="23">
        <v>9</v>
      </c>
      <c r="N12" s="23">
        <v>9</v>
      </c>
      <c r="O12" s="23">
        <v>4.05</v>
      </c>
      <c r="P12" s="74">
        <f t="shared" si="0"/>
        <v>53.75</v>
      </c>
    </row>
    <row r="13" spans="1:16">
      <c r="A13" s="19" t="s">
        <v>511</v>
      </c>
      <c r="B13" s="19" t="s">
        <v>348</v>
      </c>
      <c r="C13" s="19">
        <v>5740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8.5</v>
      </c>
      <c r="M13" s="23">
        <v>26.65</v>
      </c>
      <c r="N13" s="23">
        <v>26.65</v>
      </c>
      <c r="O13" s="23">
        <v>26.65</v>
      </c>
      <c r="P13" s="74">
        <f t="shared" si="0"/>
        <v>88.449999999999989</v>
      </c>
    </row>
    <row r="14" spans="1:16">
      <c r="A14" s="22" t="s">
        <v>508</v>
      </c>
      <c r="B14" s="22" t="s">
        <v>349</v>
      </c>
      <c r="C14" s="22">
        <v>5743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34.15</v>
      </c>
      <c r="J14" s="23">
        <v>34.15</v>
      </c>
      <c r="K14" s="23">
        <v>34.15</v>
      </c>
      <c r="L14" s="23">
        <v>34.15</v>
      </c>
      <c r="M14" s="23">
        <v>34.15</v>
      </c>
      <c r="N14" s="23">
        <v>34.15</v>
      </c>
      <c r="O14" s="23">
        <v>34.25</v>
      </c>
      <c r="P14" s="74">
        <f t="shared" si="0"/>
        <v>239.15</v>
      </c>
    </row>
    <row r="15" spans="1:16">
      <c r="A15" s="22" t="s">
        <v>331</v>
      </c>
      <c r="B15" s="22" t="s">
        <v>349</v>
      </c>
      <c r="C15" s="22">
        <v>5743</v>
      </c>
      <c r="D15" s="23">
        <v>102.5</v>
      </c>
      <c r="E15" s="23">
        <v>41</v>
      </c>
      <c r="F15" s="23">
        <v>41</v>
      </c>
      <c r="G15" s="23">
        <v>41</v>
      </c>
      <c r="H15" s="23">
        <v>41</v>
      </c>
      <c r="I15" s="23">
        <v>41</v>
      </c>
      <c r="J15" s="23">
        <v>41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74">
        <f t="shared" si="0"/>
        <v>348.5</v>
      </c>
    </row>
    <row r="16" spans="1:16">
      <c r="D16" s="24">
        <f t="shared" ref="D16:O16" si="1">SUM(D3:D15)</f>
        <v>346.7</v>
      </c>
      <c r="E16" s="24">
        <f t="shared" si="1"/>
        <v>269.14999999999998</v>
      </c>
      <c r="F16" s="24">
        <f t="shared" si="1"/>
        <v>269.2</v>
      </c>
      <c r="G16" s="24">
        <f t="shared" si="1"/>
        <v>269.14999999999998</v>
      </c>
      <c r="H16" s="24">
        <f t="shared" si="1"/>
        <v>269.14999999999998</v>
      </c>
      <c r="I16" s="24">
        <f t="shared" si="1"/>
        <v>301.2</v>
      </c>
      <c r="J16" s="24">
        <f>SUM(J3:J15)</f>
        <v>297.89999999999998</v>
      </c>
      <c r="K16" s="24">
        <f t="shared" si="1"/>
        <v>253.3</v>
      </c>
      <c r="L16" s="24">
        <f>SUM(L3:L15)</f>
        <v>261.8</v>
      </c>
      <c r="M16" s="24">
        <f t="shared" si="1"/>
        <v>252.60000000000002</v>
      </c>
      <c r="N16" s="24">
        <f t="shared" si="1"/>
        <v>232.10000000000002</v>
      </c>
      <c r="O16" s="24">
        <f t="shared" si="1"/>
        <v>227</v>
      </c>
      <c r="P16" s="73">
        <f t="shared" si="0"/>
        <v>3249.25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3249.25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5740</v>
      </c>
      <c r="D20" s="41">
        <f t="shared" ref="D20:O24" ca="1" si="2">SUMIF($C$3:$O$15,$C20,D$3:D$15)</f>
        <v>56.95</v>
      </c>
      <c r="E20" s="41">
        <f t="shared" ca="1" si="2"/>
        <v>49.1</v>
      </c>
      <c r="F20" s="41">
        <f t="shared" ca="1" si="2"/>
        <v>49.150000000000006</v>
      </c>
      <c r="G20" s="41">
        <f t="shared" ca="1" si="2"/>
        <v>49.1</v>
      </c>
      <c r="H20" s="41">
        <f t="shared" ca="1" si="2"/>
        <v>49.1</v>
      </c>
      <c r="I20" s="41">
        <f t="shared" ca="1" si="2"/>
        <v>47.000000000000007</v>
      </c>
      <c r="J20" s="41">
        <f t="shared" ca="1" si="2"/>
        <v>43.7</v>
      </c>
      <c r="K20" s="41">
        <f t="shared" ca="1" si="2"/>
        <v>40.1</v>
      </c>
      <c r="L20" s="41">
        <f t="shared" ca="1" si="2"/>
        <v>48.6</v>
      </c>
      <c r="M20" s="41">
        <f t="shared" ca="1" si="2"/>
        <v>66.75</v>
      </c>
      <c r="N20" s="41">
        <f t="shared" ca="1" si="2"/>
        <v>66.75</v>
      </c>
      <c r="O20" s="41">
        <f t="shared" ca="1" si="2"/>
        <v>61.699999999999996</v>
      </c>
      <c r="P20" s="71">
        <f ca="1">SUM(D20:O20)</f>
        <v>628.00000000000011</v>
      </c>
    </row>
    <row r="21" spans="1:16">
      <c r="B21" s="20" t="s">
        <v>347</v>
      </c>
      <c r="C21" s="20">
        <v>5741</v>
      </c>
      <c r="D21" s="41">
        <f t="shared" ca="1" si="2"/>
        <v>33.5</v>
      </c>
      <c r="E21" s="41">
        <f t="shared" ca="1" si="2"/>
        <v>25.3</v>
      </c>
      <c r="F21" s="41">
        <f t="shared" ca="1" si="2"/>
        <v>25.3</v>
      </c>
      <c r="G21" s="41">
        <f t="shared" ca="1" si="2"/>
        <v>25.3</v>
      </c>
      <c r="H21" s="41">
        <f t="shared" ca="1" si="2"/>
        <v>25.3</v>
      </c>
      <c r="I21" s="41">
        <f t="shared" ca="1" si="2"/>
        <v>25.3</v>
      </c>
      <c r="J21" s="41">
        <f t="shared" ca="1" si="2"/>
        <v>25.3</v>
      </c>
      <c r="K21" s="41">
        <f t="shared" ca="1" si="2"/>
        <v>25.3</v>
      </c>
      <c r="L21" s="41">
        <f t="shared" ca="1" si="2"/>
        <v>25.3</v>
      </c>
      <c r="M21" s="41">
        <f t="shared" ca="1" si="2"/>
        <v>25.3</v>
      </c>
      <c r="N21" s="41">
        <f t="shared" ca="1" si="2"/>
        <v>25.3</v>
      </c>
      <c r="O21" s="41">
        <f t="shared" ca="1" si="2"/>
        <v>25.1</v>
      </c>
      <c r="P21" s="71">
        <f t="shared" ref="P21:P25" ca="1" si="3">SUM(D21:O21)</f>
        <v>311.60000000000008</v>
      </c>
    </row>
    <row r="22" spans="1:16">
      <c r="B22" s="18" t="s">
        <v>346</v>
      </c>
      <c r="C22" s="18">
        <v>5742</v>
      </c>
      <c r="D22" s="41">
        <f t="shared" ca="1" si="2"/>
        <v>153.75</v>
      </c>
      <c r="E22" s="41">
        <f t="shared" ca="1" si="2"/>
        <v>153.75</v>
      </c>
      <c r="F22" s="41">
        <f t="shared" ca="1" si="2"/>
        <v>153.75</v>
      </c>
      <c r="G22" s="41">
        <f t="shared" ca="1" si="2"/>
        <v>153.75</v>
      </c>
      <c r="H22" s="41">
        <f t="shared" ca="1" si="2"/>
        <v>153.75</v>
      </c>
      <c r="I22" s="41">
        <f t="shared" ca="1" si="2"/>
        <v>153.75</v>
      </c>
      <c r="J22" s="41">
        <f t="shared" ca="1" si="2"/>
        <v>153.75</v>
      </c>
      <c r="K22" s="41">
        <f t="shared" ca="1" si="2"/>
        <v>153.75</v>
      </c>
      <c r="L22" s="41">
        <f t="shared" ca="1" si="2"/>
        <v>153.75</v>
      </c>
      <c r="M22" s="41">
        <f t="shared" ca="1" si="2"/>
        <v>126.4</v>
      </c>
      <c r="N22" s="41">
        <f t="shared" ca="1" si="2"/>
        <v>105.9</v>
      </c>
      <c r="O22" s="41">
        <f t="shared" ca="1" si="2"/>
        <v>105.95</v>
      </c>
      <c r="P22" s="71">
        <f t="shared" ca="1" si="3"/>
        <v>1722.0000000000002</v>
      </c>
    </row>
    <row r="23" spans="1:16">
      <c r="B23" s="75" t="s">
        <v>370</v>
      </c>
      <c r="C23" s="75">
        <f>+C5</f>
        <v>2431</v>
      </c>
      <c r="D23" s="41">
        <f t="shared" ca="1" si="2"/>
        <v>0</v>
      </c>
      <c r="E23" s="41">
        <f t="shared" ca="1" si="2"/>
        <v>0</v>
      </c>
      <c r="F23" s="41">
        <f t="shared" ca="1" si="2"/>
        <v>0</v>
      </c>
      <c r="G23" s="41">
        <f t="shared" ca="1" si="2"/>
        <v>0</v>
      </c>
      <c r="H23" s="41">
        <f t="shared" ca="1" si="2"/>
        <v>0</v>
      </c>
      <c r="I23" s="41">
        <f t="shared" ca="1" si="2"/>
        <v>0</v>
      </c>
      <c r="J23" s="41">
        <f t="shared" ca="1" si="2"/>
        <v>0</v>
      </c>
      <c r="K23" s="41">
        <f t="shared" ca="1" si="2"/>
        <v>0</v>
      </c>
      <c r="L23" s="41">
        <f t="shared" ca="1" si="2"/>
        <v>0</v>
      </c>
      <c r="M23" s="41">
        <f t="shared" ca="1" si="2"/>
        <v>0</v>
      </c>
      <c r="N23" s="41">
        <f t="shared" ca="1" si="2"/>
        <v>0</v>
      </c>
      <c r="O23" s="41">
        <f t="shared" ca="1" si="2"/>
        <v>0</v>
      </c>
      <c r="P23" s="71">
        <f t="shared" ca="1" si="3"/>
        <v>0</v>
      </c>
    </row>
    <row r="24" spans="1:16">
      <c r="B24" s="22" t="s">
        <v>349</v>
      </c>
      <c r="C24" s="22">
        <v>5743</v>
      </c>
      <c r="D24" s="41">
        <f t="shared" ca="1" si="2"/>
        <v>102.5</v>
      </c>
      <c r="E24" s="41">
        <f t="shared" ca="1" si="2"/>
        <v>41</v>
      </c>
      <c r="F24" s="41">
        <f t="shared" ca="1" si="2"/>
        <v>41</v>
      </c>
      <c r="G24" s="41">
        <f t="shared" ca="1" si="2"/>
        <v>41</v>
      </c>
      <c r="H24" s="41">
        <f t="shared" ca="1" si="2"/>
        <v>41</v>
      </c>
      <c r="I24" s="41">
        <f t="shared" ca="1" si="2"/>
        <v>75.150000000000006</v>
      </c>
      <c r="J24" s="41">
        <f t="shared" ca="1" si="2"/>
        <v>75.150000000000006</v>
      </c>
      <c r="K24" s="41">
        <f t="shared" ca="1" si="2"/>
        <v>34.15</v>
      </c>
      <c r="L24" s="41">
        <f t="shared" ca="1" si="2"/>
        <v>34.15</v>
      </c>
      <c r="M24" s="41">
        <f t="shared" ca="1" si="2"/>
        <v>34.15</v>
      </c>
      <c r="N24" s="41">
        <f t="shared" ca="1" si="2"/>
        <v>34.15</v>
      </c>
      <c r="O24" s="41">
        <f t="shared" ca="1" si="2"/>
        <v>34.25</v>
      </c>
      <c r="P24" s="71">
        <f t="shared" ca="1" si="3"/>
        <v>587.64999999999986</v>
      </c>
    </row>
    <row r="25" spans="1:16">
      <c r="C25" s="70" t="s">
        <v>359</v>
      </c>
      <c r="D25" s="71">
        <f ca="1">SUM(D20:D24)</f>
        <v>346.7</v>
      </c>
      <c r="E25" s="71">
        <f t="shared" ref="E25:O25" ca="1" si="4">SUM(E20:E24)</f>
        <v>269.14999999999998</v>
      </c>
      <c r="F25" s="71">
        <f t="shared" ca="1" si="4"/>
        <v>269.2</v>
      </c>
      <c r="G25" s="71">
        <f t="shared" ca="1" si="4"/>
        <v>269.14999999999998</v>
      </c>
      <c r="H25" s="71">
        <f t="shared" ca="1" si="4"/>
        <v>269.14999999999998</v>
      </c>
      <c r="I25" s="71">
        <f t="shared" ca="1" si="4"/>
        <v>301.20000000000005</v>
      </c>
      <c r="J25" s="71">
        <f t="shared" ca="1" si="4"/>
        <v>297.89999999999998</v>
      </c>
      <c r="K25" s="71">
        <f t="shared" ca="1" si="4"/>
        <v>253.3</v>
      </c>
      <c r="L25" s="71">
        <f t="shared" ca="1" si="4"/>
        <v>261.8</v>
      </c>
      <c r="M25" s="71">
        <f t="shared" ca="1" si="4"/>
        <v>252.6</v>
      </c>
      <c r="N25" s="71">
        <f t="shared" ca="1" si="4"/>
        <v>232.1</v>
      </c>
      <c r="O25" s="71">
        <f t="shared" ca="1" si="4"/>
        <v>227</v>
      </c>
      <c r="P25" s="71">
        <f t="shared" ca="1" si="3"/>
        <v>3249.25</v>
      </c>
    </row>
    <row r="27" spans="1:16">
      <c r="C27" t="s">
        <v>358</v>
      </c>
      <c r="D27" s="40">
        <f ca="1">+D16-D25</f>
        <v>0</v>
      </c>
      <c r="E27" s="40">
        <f t="shared" ref="E27:P27" ca="1" si="5">+E16-E25</f>
        <v>0</v>
      </c>
      <c r="F27" s="40">
        <f t="shared" ca="1" si="5"/>
        <v>0</v>
      </c>
      <c r="G27" s="40">
        <f t="shared" ca="1" si="5"/>
        <v>0</v>
      </c>
      <c r="H27" s="40">
        <f t="shared" ca="1" si="5"/>
        <v>0</v>
      </c>
      <c r="I27" s="40">
        <f t="shared" ca="1" si="5"/>
        <v>0</v>
      </c>
      <c r="J27" s="40">
        <f t="shared" ca="1" si="5"/>
        <v>0</v>
      </c>
      <c r="K27" s="40">
        <f t="shared" ca="1" si="5"/>
        <v>0</v>
      </c>
      <c r="L27" s="40">
        <f t="shared" ca="1" si="5"/>
        <v>0</v>
      </c>
      <c r="M27" s="40">
        <f t="shared" ca="1" si="5"/>
        <v>0</v>
      </c>
      <c r="N27" s="40">
        <f t="shared" ca="1" si="5"/>
        <v>0</v>
      </c>
      <c r="O27" s="40">
        <f t="shared" ca="1" si="5"/>
        <v>0</v>
      </c>
      <c r="P27" s="40">
        <f t="shared" ca="1" si="5"/>
        <v>0</v>
      </c>
    </row>
    <row r="29" spans="1:16">
      <c r="C29" s="92" t="s">
        <v>507</v>
      </c>
      <c r="D29" s="85">
        <f ca="1">+D25</f>
        <v>346.7</v>
      </c>
      <c r="E29" s="85">
        <f t="shared" ref="E29:O29" ca="1" si="6">+E25</f>
        <v>269.14999999999998</v>
      </c>
      <c r="F29" s="85">
        <f t="shared" ca="1" si="6"/>
        <v>269.2</v>
      </c>
      <c r="G29" s="85">
        <f t="shared" ca="1" si="6"/>
        <v>269.14999999999998</v>
      </c>
      <c r="H29" s="85">
        <f t="shared" ca="1" si="6"/>
        <v>269.14999999999998</v>
      </c>
      <c r="I29" s="85">
        <f t="shared" ca="1" si="6"/>
        <v>301.20000000000005</v>
      </c>
      <c r="J29" s="85">
        <f t="shared" ca="1" si="6"/>
        <v>297.89999999999998</v>
      </c>
      <c r="K29" s="85">
        <f t="shared" ca="1" si="6"/>
        <v>253.3</v>
      </c>
      <c r="L29" s="85">
        <f t="shared" ca="1" si="6"/>
        <v>261.8</v>
      </c>
      <c r="M29" s="85">
        <f t="shared" ca="1" si="6"/>
        <v>252.6</v>
      </c>
      <c r="N29" s="85">
        <f t="shared" ca="1" si="6"/>
        <v>232.1</v>
      </c>
      <c r="O29" s="85">
        <f t="shared" ca="1" si="6"/>
        <v>227</v>
      </c>
      <c r="P29" s="97">
        <f ca="1">+O29</f>
        <v>227</v>
      </c>
    </row>
    <row r="30" spans="1:16" ht="16.5" thickBot="1">
      <c r="C30" s="93">
        <v>2274</v>
      </c>
      <c r="D30" s="94">
        <f ca="1">D29</f>
        <v>346.7</v>
      </c>
      <c r="E30" s="94">
        <f ca="1">E29</f>
        <v>269.14999999999998</v>
      </c>
      <c r="F30" s="94">
        <f ca="1">F29</f>
        <v>269.2</v>
      </c>
      <c r="G30" s="94">
        <f ca="1">G29</f>
        <v>269.14999999999998</v>
      </c>
      <c r="H30" s="94">
        <f t="shared" ref="H30:P30" ca="1" si="7">H29</f>
        <v>269.14999999999998</v>
      </c>
      <c r="I30" s="94">
        <f t="shared" ca="1" si="7"/>
        <v>301.20000000000005</v>
      </c>
      <c r="J30" s="94">
        <f t="shared" ca="1" si="7"/>
        <v>297.89999999999998</v>
      </c>
      <c r="K30" s="94">
        <f t="shared" ca="1" si="7"/>
        <v>253.3</v>
      </c>
      <c r="L30" s="94">
        <f t="shared" ca="1" si="7"/>
        <v>261.8</v>
      </c>
      <c r="M30" s="94">
        <f t="shared" ca="1" si="7"/>
        <v>252.6</v>
      </c>
      <c r="N30" s="94">
        <f t="shared" ca="1" si="7"/>
        <v>232.1</v>
      </c>
      <c r="O30" s="94">
        <f t="shared" ca="1" si="7"/>
        <v>227</v>
      </c>
      <c r="P30" s="94">
        <f t="shared" ca="1" si="7"/>
        <v>227</v>
      </c>
    </row>
  </sheetData>
  <mergeCells count="13">
    <mergeCell ref="P1:P2"/>
    <mergeCell ref="J1:J2"/>
    <mergeCell ref="K1:K2"/>
    <mergeCell ref="L1:L2"/>
    <mergeCell ref="M1:M2"/>
    <mergeCell ref="N1:N2"/>
    <mergeCell ref="O1:O2"/>
    <mergeCell ref="I1:I2"/>
    <mergeCell ref="D1:D2"/>
    <mergeCell ref="E1:E2"/>
    <mergeCell ref="F1:F2"/>
    <mergeCell ref="G1:G2"/>
    <mergeCell ref="H1:H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8FF2-DA62-4B77-A10C-4E7B4E483771}">
  <sheetPr>
    <pageSetUpPr fitToPage="1"/>
  </sheetPr>
  <dimension ref="A5:L59"/>
  <sheetViews>
    <sheetView topLeftCell="A28" zoomScaleNormal="100" workbookViewId="0">
      <selection activeCell="K52" sqref="K52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405</v>
      </c>
      <c r="D6" s="3" t="s">
        <v>502</v>
      </c>
      <c r="E6" s="1"/>
      <c r="G6" s="109">
        <f>MONTH(C6&amp;1)</f>
        <v>2</v>
      </c>
      <c r="H6" s="110">
        <f>+G6+1</f>
        <v>3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464</v>
      </c>
      <c r="D10" s="7">
        <f ca="1">VLOOKUP(A10,'Salaires bruts'!$C$19:$P$25,$H$6,FALSE)</f>
        <v>11983.35</v>
      </c>
      <c r="E10" s="8"/>
      <c r="G10" t="s">
        <v>372</v>
      </c>
      <c r="H10" s="40">
        <f ca="1">SUM(D10:D14)</f>
        <v>56858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464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bruts'!C25:O25,'Fév 2025'!$H$6,FALSE)</f>
        <v>56858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464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464</v>
      </c>
      <c r="D13" s="7">
        <f ca="1">VLOOKUP(A13,'Salaires bruts'!$C$19:$P$25,$H$6,FALSE)</f>
        <v>2875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464</v>
      </c>
      <c r="D14" s="7">
        <f ca="1">VLOOKUP(A14,'Salaires bruts'!$C$19:$P$25,$H$6,FALSE)</f>
        <v>10000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VLOOKUP(G17,Primes!$C$25:$O$25,'Fév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465</v>
      </c>
      <c r="D22" s="8">
        <f ca="1">VLOOKUP(A22,'AVS AC PP'!$C$25:$O$29,'Fév 2025'!$H$6,FALSE)</f>
        <v>1082.55</v>
      </c>
      <c r="G22" t="s">
        <v>352</v>
      </c>
      <c r="H22" s="40">
        <f ca="1">SUM(D22:D25)</f>
        <v>4890.2000000000007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465</v>
      </c>
      <c r="D23" s="8">
        <f ca="1">VLOOKUP(A23,'AVS AC PP'!$C$25:$O$29,'Fév 2025'!$H$6,FALSE)</f>
        <v>557.10000000000014</v>
      </c>
      <c r="G23" t="s">
        <v>406</v>
      </c>
      <c r="H23" s="40">
        <f ca="1">VLOOKUP(G23,'AVS AC PP'!$C$30:$O$30,'Fév 2025'!$H$6,FALSE)</f>
        <v>4890.2000000000007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465</v>
      </c>
      <c r="D24" s="8">
        <f ca="1">VLOOKUP(A24,'AVS AC PP'!$C$25:$O$29,'Fév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465</v>
      </c>
      <c r="D25" s="8">
        <f ca="1">VLOOKUP(A25,'AVS AC PP'!$C$25:$O$29,'Fév 2025'!$H$6,FALSE)</f>
        <v>929.25000000000011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466</v>
      </c>
      <c r="D27" s="8">
        <f ca="1">VLOOKUP(A27,'AANP - LAA PP'!$C$20:$P$24,$H$6,FALSE)</f>
        <v>72.7</v>
      </c>
      <c r="G27" t="s">
        <v>369</v>
      </c>
      <c r="H27" s="40">
        <f ca="1">SUM(D27:D30)</f>
        <v>359.5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466</v>
      </c>
      <c r="D28" s="8">
        <f ca="1">VLOOKUP(A28,'AANP - LAA PP'!$C$20:$P$24,$H$6,FALSE)</f>
        <v>37.4</v>
      </c>
      <c r="G28" t="s">
        <v>406</v>
      </c>
      <c r="H28" s="40">
        <f ca="1">VLOOKUP(G28,'AANP - LAA PP'!$C$25:$O$25,'Fév 2025'!$H$6,FALSE)</f>
        <v>359.5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466</v>
      </c>
      <c r="D29" s="8">
        <f ca="1">VLOOKUP(A29,'AANP - LAA PP'!$C$20:$P$24,$H$6,FALSE)</f>
        <v>180.14999999999998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466</v>
      </c>
      <c r="D30" s="8">
        <f ca="1">VLOOKUP(A30,'AANP - LAA PP'!$C$20:$P$24,$H$6,FALSE)</f>
        <v>69.25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467</v>
      </c>
      <c r="D32" s="8">
        <f ca="1">VLOOKUP(A32,IJM!$C$20:$P$24,$H$6,FALSE)</f>
        <v>49.1</v>
      </c>
      <c r="G32" t="s">
        <v>368</v>
      </c>
      <c r="H32" s="40">
        <f ca="1">SUM(D32:D35)</f>
        <v>269.14999999999998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467</v>
      </c>
      <c r="D33" s="8">
        <f ca="1">VLOOKUP(A33,IJM!$C$20:$P$24,$H$6,FALSE)</f>
        <v>25.3</v>
      </c>
      <c r="G33" t="s">
        <v>406</v>
      </c>
      <c r="H33" s="40">
        <f ca="1">VLOOKUP(G33,IJM!$C$25:$O$25,'Fév 2025'!$H$6,FALSE)</f>
        <v>269.14999999999998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467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467</v>
      </c>
      <c r="D35" s="8">
        <f ca="1">VLOOKUP(A35,IJM!$C$20:$P$24,$H$6,FALSE)</f>
        <v>41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468</v>
      </c>
      <c r="D37" s="7">
        <f ca="1">VLOOKUP(A37,'LPP part patronale'!$C$20:$O$24,'Fév 2025'!$H$6,FALSE)</f>
        <v>678.2</v>
      </c>
      <c r="G37" t="s">
        <v>362</v>
      </c>
      <c r="H37" s="40">
        <f ca="1">SUM(D37:D41)</f>
        <v>3113.8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468</v>
      </c>
      <c r="D38" s="7">
        <f ca="1">VLOOKUP(A38,'LPP part patronale'!$C$20:$O$24,'Fév 2025'!$H$6,FALSE)</f>
        <v>226.79999999999998</v>
      </c>
      <c r="G38" t="s">
        <v>406</v>
      </c>
      <c r="H38" s="40">
        <f ca="1">VLOOKUP(G38,'LPP part patronale'!$C$25:$O$25,'Fév 2025'!$H$6,FALSE)</f>
        <v>3113.8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468</v>
      </c>
      <c r="D39" s="7">
        <f ca="1">VLOOKUP(A39,'LPP part patronale'!$C$20:$O$24,'Fév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468</v>
      </c>
      <c r="D40" s="7">
        <f ca="1">VLOOKUP(A40,'LPP part patronale'!$C$20:$O$24,'Fév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468</v>
      </c>
      <c r="D41" s="7">
        <f ca="1">VLOOKUP(A41,'LPP part patronale'!$C$20:$O$24,'Fév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469</v>
      </c>
      <c r="D43" s="66"/>
      <c r="E43" s="8">
        <f ca="1">VLOOKUP(A43,'AVS AC employés'!$D$41:$P$41,'Fév 2025'!$H$6,FALSE)+SUM(D22:D25)</f>
        <v>8375.75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469</v>
      </c>
      <c r="D44" s="7"/>
      <c r="E44" s="8">
        <f ca="1">VLOOKUP(A44,'AANP - LAA'!$C$30:$O$30,'Fév 2025'!$H$6,FALSE)+SUM(D27:D30)</f>
        <v>683.7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469</v>
      </c>
      <c r="D45" s="7"/>
      <c r="E45" s="8">
        <f ca="1">VLOOKUP(A45,IJM!$C$30:$O$30,'Fév 2025'!$H$6,FALSE)+SUM(D32:D35)</f>
        <v>538.29999999999995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469</v>
      </c>
      <c r="D46" s="7"/>
      <c r="E46" s="8">
        <f ca="1">SUM(D37:D41)*2</f>
        <v>6227.6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469</v>
      </c>
      <c r="D47" s="7"/>
      <c r="E47" s="8">
        <f>VLOOKUP(A47,'IS '!$B$13:$N$14,'Fév 2025'!$H$6,FALSE)</f>
        <v>6679.8269999999993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'!$B$13:$N$14,'Fév 2025'!$H$6,FALSE)</f>
        <v>136.32299999999998</v>
      </c>
    </row>
    <row r="49" spans="1:12">
      <c r="A49" s="5"/>
      <c r="B49" s="6"/>
      <c r="C49" s="6"/>
      <c r="D49" s="7"/>
      <c r="E49" s="8"/>
    </row>
    <row r="50" spans="1:12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VLOOKUP(A50,Parking!$C$16:$O$16,'Fév 2025'!$H$6,FALSE)</f>
        <v>400</v>
      </c>
    </row>
    <row r="51" spans="1:12">
      <c r="A51" s="5"/>
      <c r="B51" s="6"/>
      <c r="C51" s="6"/>
      <c r="D51" s="7"/>
      <c r="E51" s="8"/>
    </row>
    <row r="52" spans="1:12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VLOOKUP(A52,URSSAF!$C$16:$O$16,'Fév 2025'!$H$6,FALSE)</f>
        <v>608.4</v>
      </c>
    </row>
    <row r="53" spans="1:12">
      <c r="A53" s="5"/>
      <c r="B53" s="6"/>
      <c r="C53" s="6"/>
      <c r="D53" s="7"/>
      <c r="E53" s="8"/>
    </row>
    <row r="54" spans="1:12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1827.85</v>
      </c>
      <c r="G54" t="s">
        <v>471</v>
      </c>
      <c r="H54" t="s">
        <v>407</v>
      </c>
      <c r="L54" s="40"/>
    </row>
    <row r="55" spans="1:12">
      <c r="A55" s="5">
        <v>2290</v>
      </c>
      <c r="B55" s="6" t="str">
        <f>VLOOKUP(A55,'Tables comptes'!$A:$B,2,FALSE)</f>
        <v>Salaires à payer</v>
      </c>
      <c r="C55" s="6" t="s">
        <v>470</v>
      </c>
      <c r="D55" s="7"/>
      <c r="E55" s="8">
        <f ca="1">SUM(D10:D54)-SUM(E10:E54)</f>
        <v>40012.900000000009</v>
      </c>
      <c r="G55" s="116">
        <v>40012.9</v>
      </c>
      <c r="H55" s="40">
        <f ca="1">+E55-G55</f>
        <v>0</v>
      </c>
    </row>
    <row r="56" spans="1:12">
      <c r="A56" s="5"/>
      <c r="B56" s="6"/>
      <c r="C56" s="6"/>
      <c r="D56" s="7"/>
      <c r="E56" s="8"/>
    </row>
    <row r="57" spans="1:12">
      <c r="A57" s="5"/>
      <c r="B57" s="6"/>
      <c r="C57" s="6"/>
      <c r="D57" s="9"/>
      <c r="E57" s="10"/>
    </row>
    <row r="58" spans="1:12">
      <c r="A58" s="11"/>
      <c r="B58" s="11" t="s">
        <v>2</v>
      </c>
      <c r="C58" s="11"/>
      <c r="D58" s="12">
        <f ca="1">SUM(D9:D57)</f>
        <v>65490.650000000009</v>
      </c>
      <c r="E58" s="13">
        <f ca="1">SUM(E9:E57)</f>
        <v>65490.650000000009</v>
      </c>
    </row>
    <row r="59" spans="1:12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3B90-D5A8-40E2-9E79-6079E6EC4A64}">
  <sheetPr>
    <pageSetUpPr fitToPage="1"/>
  </sheetPr>
  <dimension ref="A1:P27"/>
  <sheetViews>
    <sheetView workbookViewId="0">
      <selection activeCell="V18" sqref="V18"/>
    </sheetView>
  </sheetViews>
  <sheetFormatPr baseColWidth="10" defaultRowHeight="15"/>
  <cols>
    <col min="4" max="6" width="12.85546875" bestFit="1" customWidth="1"/>
    <col min="7" max="14" width="11.5703125" bestFit="1" customWidth="1"/>
    <col min="15" max="15" width="13.28515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368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5742</v>
      </c>
      <c r="D3" s="23">
        <v>51.25</v>
      </c>
      <c r="E3" s="23">
        <v>51.25</v>
      </c>
      <c r="F3" s="23">
        <v>51.25</v>
      </c>
      <c r="G3" s="23">
        <v>51.25</v>
      </c>
      <c r="H3" s="23">
        <v>51.25</v>
      </c>
      <c r="I3" s="23">
        <v>51.25</v>
      </c>
      <c r="J3" s="23">
        <v>51.25</v>
      </c>
      <c r="K3" s="23">
        <v>51.25</v>
      </c>
      <c r="L3" s="23">
        <v>51.25</v>
      </c>
      <c r="M3" s="23">
        <v>51.25</v>
      </c>
      <c r="N3" s="23">
        <v>51.25</v>
      </c>
      <c r="O3" s="23">
        <v>51.25</v>
      </c>
      <c r="P3" s="74">
        <f>SUM(D3:O3)</f>
        <v>615</v>
      </c>
    </row>
    <row r="4" spans="1:16">
      <c r="A4" s="18" t="s">
        <v>326</v>
      </c>
      <c r="B4" s="18" t="s">
        <v>346</v>
      </c>
      <c r="C4" s="18">
        <v>5742</v>
      </c>
      <c r="D4" s="23">
        <v>102.5</v>
      </c>
      <c r="E4" s="23">
        <v>102.5</v>
      </c>
      <c r="F4" s="23">
        <v>102.5</v>
      </c>
      <c r="G4" s="23">
        <v>102.5</v>
      </c>
      <c r="H4" s="23">
        <v>102.5</v>
      </c>
      <c r="I4" s="23">
        <v>102.5</v>
      </c>
      <c r="J4" s="23">
        <v>102.5</v>
      </c>
      <c r="K4" s="23">
        <v>102.5</v>
      </c>
      <c r="L4" s="23">
        <v>102.5</v>
      </c>
      <c r="M4" s="23">
        <v>75.150000000000006</v>
      </c>
      <c r="N4" s="23">
        <v>54.65</v>
      </c>
      <c r="O4" s="23">
        <v>54.7</v>
      </c>
      <c r="P4" s="74">
        <f t="shared" ref="P4:P16" si="0">SUM(D4:O4)</f>
        <v>1107</v>
      </c>
    </row>
    <row r="5" spans="1:16">
      <c r="A5" s="75" t="s">
        <v>327</v>
      </c>
      <c r="B5" s="75" t="s">
        <v>370</v>
      </c>
      <c r="C5" s="75">
        <v>2431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74">
        <f t="shared" si="0"/>
        <v>0</v>
      </c>
    </row>
    <row r="6" spans="1:16">
      <c r="A6" s="19" t="s">
        <v>328</v>
      </c>
      <c r="B6" s="19" t="s">
        <v>348</v>
      </c>
      <c r="C6" s="19">
        <v>5740</v>
      </c>
      <c r="D6" s="23">
        <v>41.35</v>
      </c>
      <c r="E6" s="23">
        <v>31.1</v>
      </c>
      <c r="F6" s="23">
        <v>31.1</v>
      </c>
      <c r="G6" s="23">
        <v>31.1</v>
      </c>
      <c r="H6" s="23">
        <v>31.1</v>
      </c>
      <c r="I6" s="23">
        <v>31.1</v>
      </c>
      <c r="J6" s="23">
        <v>31.1</v>
      </c>
      <c r="K6" s="23">
        <v>31.1</v>
      </c>
      <c r="L6" s="23">
        <v>31.1</v>
      </c>
      <c r="M6" s="23">
        <v>31.1</v>
      </c>
      <c r="N6" s="23">
        <v>31.1</v>
      </c>
      <c r="O6" s="23">
        <v>31</v>
      </c>
      <c r="P6" s="74">
        <f t="shared" si="0"/>
        <v>383.35000000000008</v>
      </c>
    </row>
    <row r="7" spans="1:16">
      <c r="A7" s="20" t="s">
        <v>329</v>
      </c>
      <c r="B7" s="20" t="s">
        <v>347</v>
      </c>
      <c r="C7" s="20">
        <v>5741</v>
      </c>
      <c r="D7" s="23">
        <v>33.5</v>
      </c>
      <c r="E7" s="23">
        <v>25.3</v>
      </c>
      <c r="F7" s="23">
        <v>25.3</v>
      </c>
      <c r="G7" s="23">
        <v>25.3</v>
      </c>
      <c r="H7" s="23">
        <v>25.3</v>
      </c>
      <c r="I7" s="23">
        <v>25.3</v>
      </c>
      <c r="J7" s="23">
        <v>25.3</v>
      </c>
      <c r="K7" s="23">
        <v>25.3</v>
      </c>
      <c r="L7" s="23">
        <v>25.3</v>
      </c>
      <c r="M7" s="23">
        <v>25.3</v>
      </c>
      <c r="N7" s="23">
        <v>25.3</v>
      </c>
      <c r="O7" s="23">
        <v>25.1</v>
      </c>
      <c r="P7" s="74">
        <f t="shared" si="0"/>
        <v>311.60000000000008</v>
      </c>
    </row>
    <row r="8" spans="1:16">
      <c r="A8" s="21" t="s">
        <v>496</v>
      </c>
      <c r="B8" s="21" t="s">
        <v>348</v>
      </c>
      <c r="C8" s="21">
        <v>5740</v>
      </c>
      <c r="D8" s="23">
        <v>5.9</v>
      </c>
      <c r="E8" s="23">
        <v>9</v>
      </c>
      <c r="F8" s="23">
        <v>9</v>
      </c>
      <c r="G8" s="23">
        <v>9</v>
      </c>
      <c r="H8" s="23">
        <v>9</v>
      </c>
      <c r="I8" s="23">
        <v>9</v>
      </c>
      <c r="J8" s="23">
        <v>3.6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74">
        <f t="shared" si="0"/>
        <v>54.5</v>
      </c>
    </row>
    <row r="9" spans="1:16">
      <c r="A9" s="21" t="s">
        <v>330</v>
      </c>
      <c r="B9" s="21" t="s">
        <v>348</v>
      </c>
      <c r="C9" s="21">
        <v>5740</v>
      </c>
      <c r="D9" s="23">
        <v>9</v>
      </c>
      <c r="E9" s="23">
        <v>9</v>
      </c>
      <c r="F9" s="23">
        <v>4.3499999999999996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74">
        <f t="shared" si="0"/>
        <v>22.35</v>
      </c>
    </row>
    <row r="10" spans="1:16">
      <c r="A10" s="21" t="s">
        <v>504</v>
      </c>
      <c r="B10" s="21" t="s">
        <v>348</v>
      </c>
      <c r="C10" s="21">
        <v>5740</v>
      </c>
      <c r="D10" s="23">
        <v>0.7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74">
        <f t="shared" si="0"/>
        <v>0.7</v>
      </c>
    </row>
    <row r="11" spans="1:16">
      <c r="A11" s="21" t="s">
        <v>506</v>
      </c>
      <c r="B11" s="21" t="s">
        <v>348</v>
      </c>
      <c r="C11" s="21">
        <v>5740</v>
      </c>
      <c r="D11" s="23">
        <v>0</v>
      </c>
      <c r="E11" s="23">
        <v>0</v>
      </c>
      <c r="F11" s="23">
        <v>4.7</v>
      </c>
      <c r="G11" s="23">
        <v>9</v>
      </c>
      <c r="H11" s="23">
        <v>9</v>
      </c>
      <c r="I11" s="23">
        <v>2.2000000000000002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74">
        <f t="shared" si="0"/>
        <v>24.9</v>
      </c>
    </row>
    <row r="12" spans="1:16">
      <c r="A12" s="21" t="s">
        <v>509</v>
      </c>
      <c r="B12" s="21" t="s">
        <v>348</v>
      </c>
      <c r="C12" s="21">
        <v>5740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4.7</v>
      </c>
      <c r="J12" s="23">
        <v>9</v>
      </c>
      <c r="K12" s="23">
        <v>9</v>
      </c>
      <c r="L12" s="23">
        <v>9</v>
      </c>
      <c r="M12" s="23">
        <v>9</v>
      </c>
      <c r="N12" s="23">
        <v>9</v>
      </c>
      <c r="O12" s="23">
        <v>4.05</v>
      </c>
      <c r="P12" s="74">
        <f t="shared" si="0"/>
        <v>53.75</v>
      </c>
    </row>
    <row r="13" spans="1:16">
      <c r="A13" s="19" t="s">
        <v>511</v>
      </c>
      <c r="B13" s="19" t="s">
        <v>348</v>
      </c>
      <c r="C13" s="19">
        <v>5740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8.5</v>
      </c>
      <c r="M13" s="23">
        <v>26.65</v>
      </c>
      <c r="N13" s="23">
        <v>26.65</v>
      </c>
      <c r="O13" s="23">
        <v>26.65</v>
      </c>
      <c r="P13" s="74">
        <f t="shared" si="0"/>
        <v>88.449999999999989</v>
      </c>
    </row>
    <row r="14" spans="1:16">
      <c r="A14" s="22" t="s">
        <v>508</v>
      </c>
      <c r="B14" s="22" t="s">
        <v>349</v>
      </c>
      <c r="C14" s="22">
        <v>5743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34.15</v>
      </c>
      <c r="J14" s="23">
        <v>34.15</v>
      </c>
      <c r="K14" s="23">
        <v>34.15</v>
      </c>
      <c r="L14" s="23">
        <v>34.15</v>
      </c>
      <c r="M14" s="23">
        <v>34.15</v>
      </c>
      <c r="N14" s="23">
        <v>34.15</v>
      </c>
      <c r="O14" s="23">
        <v>34.25</v>
      </c>
      <c r="P14" s="74">
        <f t="shared" si="0"/>
        <v>239.15</v>
      </c>
    </row>
    <row r="15" spans="1:16">
      <c r="A15" s="22" t="s">
        <v>331</v>
      </c>
      <c r="B15" s="22" t="s">
        <v>349</v>
      </c>
      <c r="C15" s="22">
        <v>5743</v>
      </c>
      <c r="D15" s="23">
        <v>102.5</v>
      </c>
      <c r="E15" s="23">
        <v>41</v>
      </c>
      <c r="F15" s="23">
        <v>41</v>
      </c>
      <c r="G15" s="23">
        <v>41</v>
      </c>
      <c r="H15" s="23">
        <v>41</v>
      </c>
      <c r="I15" s="23">
        <v>41</v>
      </c>
      <c r="J15" s="23">
        <v>41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74">
        <f t="shared" si="0"/>
        <v>348.5</v>
      </c>
    </row>
    <row r="16" spans="1:16">
      <c r="D16" s="24">
        <f t="shared" ref="D16:O16" si="1">SUM(D3:D15)</f>
        <v>346.7</v>
      </c>
      <c r="E16" s="24">
        <f t="shared" si="1"/>
        <v>269.14999999999998</v>
      </c>
      <c r="F16" s="24">
        <f t="shared" si="1"/>
        <v>269.2</v>
      </c>
      <c r="G16" s="24">
        <f t="shared" si="1"/>
        <v>269.14999999999998</v>
      </c>
      <c r="H16" s="24">
        <f t="shared" si="1"/>
        <v>269.14999999999998</v>
      </c>
      <c r="I16" s="24">
        <f t="shared" si="1"/>
        <v>301.2</v>
      </c>
      <c r="J16" s="24">
        <f t="shared" si="1"/>
        <v>297.89999999999998</v>
      </c>
      <c r="K16" s="24">
        <f t="shared" si="1"/>
        <v>253.3</v>
      </c>
      <c r="L16" s="24">
        <f t="shared" si="1"/>
        <v>261.8</v>
      </c>
      <c r="M16" s="24">
        <f t="shared" si="1"/>
        <v>252.60000000000002</v>
      </c>
      <c r="N16" s="24">
        <f t="shared" si="1"/>
        <v>232.10000000000002</v>
      </c>
      <c r="O16" s="24">
        <f t="shared" si="1"/>
        <v>227</v>
      </c>
      <c r="P16" s="73">
        <f t="shared" si="0"/>
        <v>3249.25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3249.25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5740</v>
      </c>
      <c r="D20" s="41">
        <f t="shared" ref="D20:O24" ca="1" si="2">SUMIF($C$3:$O$15,$C20,D$3:D$15)</f>
        <v>56.95</v>
      </c>
      <c r="E20" s="41">
        <f t="shared" ca="1" si="2"/>
        <v>49.1</v>
      </c>
      <c r="F20" s="41">
        <f t="shared" ca="1" si="2"/>
        <v>49.150000000000006</v>
      </c>
      <c r="G20" s="41">
        <f t="shared" ca="1" si="2"/>
        <v>49.1</v>
      </c>
      <c r="H20" s="41">
        <f t="shared" ca="1" si="2"/>
        <v>49.1</v>
      </c>
      <c r="I20" s="41">
        <f t="shared" ca="1" si="2"/>
        <v>47.000000000000007</v>
      </c>
      <c r="J20" s="41">
        <f t="shared" ca="1" si="2"/>
        <v>43.7</v>
      </c>
      <c r="K20" s="41">
        <f t="shared" ca="1" si="2"/>
        <v>40.1</v>
      </c>
      <c r="L20" s="41">
        <f t="shared" ca="1" si="2"/>
        <v>48.6</v>
      </c>
      <c r="M20" s="41">
        <f t="shared" ca="1" si="2"/>
        <v>66.75</v>
      </c>
      <c r="N20" s="41">
        <f t="shared" ca="1" si="2"/>
        <v>66.75</v>
      </c>
      <c r="O20" s="41">
        <f t="shared" ca="1" si="2"/>
        <v>61.699999999999996</v>
      </c>
      <c r="P20" s="71">
        <f ca="1">SUM(D20:O20)</f>
        <v>628.00000000000011</v>
      </c>
    </row>
    <row r="21" spans="1:16">
      <c r="B21" s="20" t="s">
        <v>347</v>
      </c>
      <c r="C21" s="20">
        <v>5741</v>
      </c>
      <c r="D21" s="41">
        <f t="shared" ca="1" si="2"/>
        <v>33.5</v>
      </c>
      <c r="E21" s="41">
        <f t="shared" ca="1" si="2"/>
        <v>25.3</v>
      </c>
      <c r="F21" s="41">
        <f t="shared" ca="1" si="2"/>
        <v>25.3</v>
      </c>
      <c r="G21" s="41">
        <f t="shared" ca="1" si="2"/>
        <v>25.3</v>
      </c>
      <c r="H21" s="41">
        <f t="shared" ca="1" si="2"/>
        <v>25.3</v>
      </c>
      <c r="I21" s="41">
        <f t="shared" ca="1" si="2"/>
        <v>25.3</v>
      </c>
      <c r="J21" s="41">
        <f t="shared" ca="1" si="2"/>
        <v>25.3</v>
      </c>
      <c r="K21" s="41">
        <f t="shared" ca="1" si="2"/>
        <v>25.3</v>
      </c>
      <c r="L21" s="41">
        <f t="shared" ca="1" si="2"/>
        <v>25.3</v>
      </c>
      <c r="M21" s="41">
        <f t="shared" ca="1" si="2"/>
        <v>25.3</v>
      </c>
      <c r="N21" s="41">
        <f t="shared" ca="1" si="2"/>
        <v>25.3</v>
      </c>
      <c r="O21" s="41">
        <f t="shared" ca="1" si="2"/>
        <v>25.1</v>
      </c>
      <c r="P21" s="71">
        <f t="shared" ref="P21:P25" ca="1" si="3">SUM(D21:O21)</f>
        <v>311.60000000000008</v>
      </c>
    </row>
    <row r="22" spans="1:16">
      <c r="B22" s="18" t="s">
        <v>346</v>
      </c>
      <c r="C22" s="18">
        <v>5742</v>
      </c>
      <c r="D22" s="41">
        <f t="shared" ca="1" si="2"/>
        <v>153.75</v>
      </c>
      <c r="E22" s="41">
        <f t="shared" ca="1" si="2"/>
        <v>153.75</v>
      </c>
      <c r="F22" s="41">
        <f t="shared" ca="1" si="2"/>
        <v>153.75</v>
      </c>
      <c r="G22" s="41">
        <f t="shared" ca="1" si="2"/>
        <v>153.75</v>
      </c>
      <c r="H22" s="41">
        <f t="shared" ca="1" si="2"/>
        <v>153.75</v>
      </c>
      <c r="I22" s="41">
        <f t="shared" ca="1" si="2"/>
        <v>153.75</v>
      </c>
      <c r="J22" s="41">
        <f t="shared" ca="1" si="2"/>
        <v>153.75</v>
      </c>
      <c r="K22" s="41">
        <f t="shared" ca="1" si="2"/>
        <v>153.75</v>
      </c>
      <c r="L22" s="41">
        <f t="shared" ca="1" si="2"/>
        <v>153.75</v>
      </c>
      <c r="M22" s="41">
        <f t="shared" ca="1" si="2"/>
        <v>126.4</v>
      </c>
      <c r="N22" s="41">
        <f t="shared" ca="1" si="2"/>
        <v>105.9</v>
      </c>
      <c r="O22" s="41">
        <f t="shared" ca="1" si="2"/>
        <v>105.95</v>
      </c>
      <c r="P22" s="71">
        <f t="shared" ca="1" si="3"/>
        <v>1722.0000000000002</v>
      </c>
    </row>
    <row r="23" spans="1:16">
      <c r="B23" s="75" t="s">
        <v>370</v>
      </c>
      <c r="C23" s="75">
        <f>+C5</f>
        <v>2431</v>
      </c>
      <c r="D23" s="41">
        <f t="shared" ca="1" si="2"/>
        <v>0</v>
      </c>
      <c r="E23" s="41">
        <f t="shared" ca="1" si="2"/>
        <v>0</v>
      </c>
      <c r="F23" s="41">
        <f t="shared" ca="1" si="2"/>
        <v>0</v>
      </c>
      <c r="G23" s="41">
        <f t="shared" ca="1" si="2"/>
        <v>0</v>
      </c>
      <c r="H23" s="41">
        <f t="shared" ca="1" si="2"/>
        <v>0</v>
      </c>
      <c r="I23" s="41">
        <f t="shared" ca="1" si="2"/>
        <v>0</v>
      </c>
      <c r="J23" s="41">
        <f t="shared" ca="1" si="2"/>
        <v>0</v>
      </c>
      <c r="K23" s="41">
        <f t="shared" ca="1" si="2"/>
        <v>0</v>
      </c>
      <c r="L23" s="41">
        <f t="shared" ca="1" si="2"/>
        <v>0</v>
      </c>
      <c r="M23" s="41">
        <f t="shared" ca="1" si="2"/>
        <v>0</v>
      </c>
      <c r="N23" s="41">
        <f t="shared" ca="1" si="2"/>
        <v>0</v>
      </c>
      <c r="O23" s="41">
        <f t="shared" ca="1" si="2"/>
        <v>0</v>
      </c>
      <c r="P23" s="71">
        <f t="shared" ca="1" si="3"/>
        <v>0</v>
      </c>
    </row>
    <row r="24" spans="1:16">
      <c r="B24" s="22" t="s">
        <v>349</v>
      </c>
      <c r="C24" s="22">
        <v>5743</v>
      </c>
      <c r="D24" s="41">
        <f t="shared" ca="1" si="2"/>
        <v>102.5</v>
      </c>
      <c r="E24" s="41">
        <f t="shared" ca="1" si="2"/>
        <v>41</v>
      </c>
      <c r="F24" s="41">
        <f t="shared" ca="1" si="2"/>
        <v>41</v>
      </c>
      <c r="G24" s="41">
        <f t="shared" ca="1" si="2"/>
        <v>41</v>
      </c>
      <c r="H24" s="41">
        <f t="shared" ca="1" si="2"/>
        <v>41</v>
      </c>
      <c r="I24" s="41">
        <f t="shared" ca="1" si="2"/>
        <v>75.150000000000006</v>
      </c>
      <c r="J24" s="41">
        <f t="shared" ca="1" si="2"/>
        <v>75.150000000000006</v>
      </c>
      <c r="K24" s="41">
        <f t="shared" ca="1" si="2"/>
        <v>34.15</v>
      </c>
      <c r="L24" s="41">
        <f t="shared" ca="1" si="2"/>
        <v>34.15</v>
      </c>
      <c r="M24" s="41">
        <f t="shared" ca="1" si="2"/>
        <v>34.15</v>
      </c>
      <c r="N24" s="41">
        <f t="shared" ca="1" si="2"/>
        <v>34.15</v>
      </c>
      <c r="O24" s="41">
        <f t="shared" ca="1" si="2"/>
        <v>34.25</v>
      </c>
      <c r="P24" s="71">
        <f t="shared" ca="1" si="3"/>
        <v>587.64999999999986</v>
      </c>
    </row>
    <row r="25" spans="1:16">
      <c r="C25" s="70" t="s">
        <v>359</v>
      </c>
      <c r="D25" s="71">
        <f ca="1">SUM(D20:D24)</f>
        <v>346.7</v>
      </c>
      <c r="E25" s="71">
        <f t="shared" ref="E25:O25" ca="1" si="4">SUM(E20:E24)</f>
        <v>269.14999999999998</v>
      </c>
      <c r="F25" s="71">
        <f t="shared" ca="1" si="4"/>
        <v>269.2</v>
      </c>
      <c r="G25" s="71">
        <f t="shared" ca="1" si="4"/>
        <v>269.14999999999998</v>
      </c>
      <c r="H25" s="71">
        <f t="shared" ca="1" si="4"/>
        <v>269.14999999999998</v>
      </c>
      <c r="I25" s="71">
        <f t="shared" ca="1" si="4"/>
        <v>301.20000000000005</v>
      </c>
      <c r="J25" s="71">
        <f t="shared" ca="1" si="4"/>
        <v>297.89999999999998</v>
      </c>
      <c r="K25" s="71">
        <f t="shared" ca="1" si="4"/>
        <v>253.3</v>
      </c>
      <c r="L25" s="71">
        <f t="shared" ca="1" si="4"/>
        <v>261.8</v>
      </c>
      <c r="M25" s="71">
        <f t="shared" ca="1" si="4"/>
        <v>252.6</v>
      </c>
      <c r="N25" s="71">
        <f t="shared" ca="1" si="4"/>
        <v>232.1</v>
      </c>
      <c r="O25" s="71">
        <f t="shared" ca="1" si="4"/>
        <v>227</v>
      </c>
      <c r="P25" s="71">
        <f t="shared" ca="1" si="3"/>
        <v>3249.25</v>
      </c>
    </row>
    <row r="27" spans="1:16">
      <c r="C27" t="s">
        <v>358</v>
      </c>
      <c r="D27" s="40">
        <f ca="1">+D16-D25</f>
        <v>0</v>
      </c>
      <c r="E27" s="40">
        <f t="shared" ref="E27:P27" ca="1" si="5">+E16-E25</f>
        <v>0</v>
      </c>
      <c r="F27" s="40">
        <f t="shared" ca="1" si="5"/>
        <v>0</v>
      </c>
      <c r="G27" s="40">
        <f t="shared" ca="1" si="5"/>
        <v>0</v>
      </c>
      <c r="H27" s="40">
        <f t="shared" ca="1" si="5"/>
        <v>0</v>
      </c>
      <c r="I27" s="40">
        <f t="shared" ca="1" si="5"/>
        <v>0</v>
      </c>
      <c r="J27" s="40">
        <f t="shared" ca="1" si="5"/>
        <v>0</v>
      </c>
      <c r="K27" s="40">
        <f t="shared" ca="1" si="5"/>
        <v>0</v>
      </c>
      <c r="L27" s="40">
        <f t="shared" ca="1" si="5"/>
        <v>0</v>
      </c>
      <c r="M27" s="40">
        <f t="shared" ca="1" si="5"/>
        <v>0</v>
      </c>
      <c r="N27" s="40">
        <f t="shared" ca="1" si="5"/>
        <v>0</v>
      </c>
      <c r="O27" s="40">
        <f t="shared" ca="1" si="5"/>
        <v>0</v>
      </c>
      <c r="P27" s="40">
        <f t="shared" ca="1" si="5"/>
        <v>0</v>
      </c>
    </row>
  </sheetData>
  <mergeCells count="13">
    <mergeCell ref="I1:I2"/>
    <mergeCell ref="D1:D2"/>
    <mergeCell ref="E1:E2"/>
    <mergeCell ref="F1:F2"/>
    <mergeCell ref="G1:G2"/>
    <mergeCell ref="H1:H2"/>
    <mergeCell ref="P1:P2"/>
    <mergeCell ref="J1:J2"/>
    <mergeCell ref="K1:K2"/>
    <mergeCell ref="L1:L2"/>
    <mergeCell ref="M1:M2"/>
    <mergeCell ref="N1:N2"/>
    <mergeCell ref="O1:O2"/>
  </mergeCells>
  <pageMargins left="0.7" right="0.7" top="0.75" bottom="0.75" header="0.3" footer="0.3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1319-232C-4ED3-977F-70F96EDF7301}">
  <sheetPr>
    <pageSetUpPr fitToPage="1"/>
  </sheetPr>
  <dimension ref="A1:P27"/>
  <sheetViews>
    <sheetView workbookViewId="0">
      <selection activeCell="O3" sqref="O3"/>
    </sheetView>
  </sheetViews>
  <sheetFormatPr baseColWidth="10" defaultRowHeight="15"/>
  <cols>
    <col min="2" max="2" width="15.140625" customWidth="1"/>
    <col min="4" max="14" width="11.5703125" bestFit="1" customWidth="1"/>
    <col min="15" max="15" width="13.28515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362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5722</v>
      </c>
      <c r="D3" s="23">
        <v>1575</v>
      </c>
      <c r="E3" s="23">
        <v>1575</v>
      </c>
      <c r="F3" s="23">
        <v>1575</v>
      </c>
      <c r="G3" s="23">
        <v>1575</v>
      </c>
      <c r="H3" s="23">
        <v>1575</v>
      </c>
      <c r="I3" s="23">
        <v>1575</v>
      </c>
      <c r="J3" s="23">
        <v>1575</v>
      </c>
      <c r="K3" s="23">
        <v>1575</v>
      </c>
      <c r="L3" s="23">
        <v>1575</v>
      </c>
      <c r="M3" s="23">
        <v>1575</v>
      </c>
      <c r="N3" s="23">
        <v>1575</v>
      </c>
      <c r="O3" s="23">
        <v>1575</v>
      </c>
      <c r="P3" s="74">
        <f>SUM(D3:O3)</f>
        <v>18900</v>
      </c>
    </row>
    <row r="4" spans="1:16">
      <c r="A4" s="18" t="s">
        <v>326</v>
      </c>
      <c r="B4" s="18" t="s">
        <v>346</v>
      </c>
      <c r="C4" s="18">
        <v>5722</v>
      </c>
      <c r="D4" s="23">
        <v>467.4</v>
      </c>
      <c r="E4" s="23">
        <v>467.4</v>
      </c>
      <c r="F4" s="23">
        <v>467.4</v>
      </c>
      <c r="G4" s="23">
        <v>467.4</v>
      </c>
      <c r="H4" s="23">
        <v>467.4</v>
      </c>
      <c r="I4" s="23">
        <v>467.4</v>
      </c>
      <c r="J4" s="23">
        <v>467.4</v>
      </c>
      <c r="K4" s="23">
        <v>467.4</v>
      </c>
      <c r="L4" s="23">
        <v>467.4</v>
      </c>
      <c r="M4" s="23">
        <v>467.4</v>
      </c>
      <c r="N4" s="23">
        <v>467.4</v>
      </c>
      <c r="O4" s="23">
        <v>467.4</v>
      </c>
      <c r="P4" s="74">
        <f t="shared" ref="P4:P16" si="0">SUM(D4:O4)</f>
        <v>5608.7999999999993</v>
      </c>
    </row>
    <row r="5" spans="1:16">
      <c r="A5" s="75" t="s">
        <v>327</v>
      </c>
      <c r="B5" s="75" t="s">
        <v>370</v>
      </c>
      <c r="C5" s="75">
        <v>5708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74">
        <f t="shared" si="0"/>
        <v>0</v>
      </c>
    </row>
    <row r="6" spans="1:16">
      <c r="A6" s="19" t="s">
        <v>328</v>
      </c>
      <c r="B6" s="19" t="s">
        <v>348</v>
      </c>
      <c r="C6" s="19">
        <v>5720</v>
      </c>
      <c r="D6" s="23">
        <v>225.9</v>
      </c>
      <c r="E6" s="23">
        <v>225.9</v>
      </c>
      <c r="F6" s="23">
        <v>225.9</v>
      </c>
      <c r="G6" s="23">
        <v>225.9</v>
      </c>
      <c r="H6" s="23">
        <v>225.9</v>
      </c>
      <c r="I6" s="23">
        <v>225.9</v>
      </c>
      <c r="J6" s="23">
        <v>225.9</v>
      </c>
      <c r="K6" s="23">
        <v>225.9</v>
      </c>
      <c r="L6" s="23">
        <v>225.9</v>
      </c>
      <c r="M6" s="23">
        <v>225.9</v>
      </c>
      <c r="N6" s="23">
        <v>225.9</v>
      </c>
      <c r="O6" s="23">
        <v>225.9</v>
      </c>
      <c r="P6" s="74">
        <f t="shared" si="0"/>
        <v>2710.8000000000006</v>
      </c>
    </row>
    <row r="7" spans="1:16">
      <c r="A7" s="20" t="s">
        <v>329</v>
      </c>
      <c r="B7" s="20" t="s">
        <v>347</v>
      </c>
      <c r="C7" s="20">
        <v>5721</v>
      </c>
      <c r="D7" s="23">
        <v>166.4</v>
      </c>
      <c r="E7" s="23">
        <v>166.4</v>
      </c>
      <c r="F7" s="23">
        <v>166.4</v>
      </c>
      <c r="G7" s="23">
        <v>166.4</v>
      </c>
      <c r="H7" s="23">
        <v>166.4</v>
      </c>
      <c r="I7" s="23">
        <v>166.4</v>
      </c>
      <c r="J7" s="23">
        <v>166.4</v>
      </c>
      <c r="K7" s="23">
        <v>166.4</v>
      </c>
      <c r="L7" s="23">
        <v>166.4</v>
      </c>
      <c r="M7" s="23">
        <v>166.4</v>
      </c>
      <c r="N7" s="23">
        <v>166.4</v>
      </c>
      <c r="O7" s="23">
        <v>166.4</v>
      </c>
      <c r="P7" s="74">
        <f t="shared" si="0"/>
        <v>1996.8000000000004</v>
      </c>
    </row>
    <row r="8" spans="1:16">
      <c r="A8" s="21" t="s">
        <v>496</v>
      </c>
      <c r="B8" s="21" t="s">
        <v>348</v>
      </c>
      <c r="C8" s="21">
        <v>5720</v>
      </c>
      <c r="D8" s="23">
        <v>0</v>
      </c>
      <c r="E8" s="23">
        <v>0.45</v>
      </c>
      <c r="F8" s="23">
        <v>0.45</v>
      </c>
      <c r="G8" s="23">
        <v>0.45</v>
      </c>
      <c r="H8" s="23">
        <v>0.45</v>
      </c>
      <c r="I8" s="23">
        <v>0.45</v>
      </c>
      <c r="J8" s="23">
        <v>0.45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74">
        <f t="shared" si="0"/>
        <v>2.7</v>
      </c>
    </row>
    <row r="9" spans="1:16">
      <c r="A9" s="21" t="s">
        <v>330</v>
      </c>
      <c r="B9" s="21" t="s">
        <v>348</v>
      </c>
      <c r="C9" s="21">
        <v>5720</v>
      </c>
      <c r="D9" s="23">
        <v>0.45</v>
      </c>
      <c r="E9" s="23">
        <v>0.45</v>
      </c>
      <c r="F9" s="23">
        <v>0.45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74">
        <f t="shared" si="0"/>
        <v>1.35</v>
      </c>
    </row>
    <row r="10" spans="1:16">
      <c r="A10" s="21" t="s">
        <v>504</v>
      </c>
      <c r="B10" s="21" t="s">
        <v>348</v>
      </c>
      <c r="C10" s="21">
        <v>5720</v>
      </c>
      <c r="D10" s="23">
        <v>0.45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74">
        <f t="shared" si="0"/>
        <v>0.45</v>
      </c>
    </row>
    <row r="11" spans="1:16">
      <c r="A11" s="21" t="s">
        <v>506</v>
      </c>
      <c r="B11" s="21" t="s">
        <v>348</v>
      </c>
      <c r="C11" s="21">
        <v>5720</v>
      </c>
      <c r="D11" s="23">
        <v>0</v>
      </c>
      <c r="E11" s="23">
        <v>0</v>
      </c>
      <c r="F11" s="23">
        <v>0</v>
      </c>
      <c r="G11" s="23">
        <v>13.25</v>
      </c>
      <c r="H11" s="23">
        <v>13.25</v>
      </c>
      <c r="I11" s="23">
        <v>13.25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74">
        <f t="shared" si="0"/>
        <v>39.75</v>
      </c>
    </row>
    <row r="12" spans="1:16">
      <c r="A12" s="21" t="s">
        <v>509</v>
      </c>
      <c r="B12" s="21" t="s">
        <v>348</v>
      </c>
      <c r="C12" s="21">
        <v>5720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0.45</v>
      </c>
      <c r="K12" s="23">
        <v>0.45</v>
      </c>
      <c r="L12" s="23">
        <v>0.45</v>
      </c>
      <c r="M12" s="23">
        <v>0.45</v>
      </c>
      <c r="N12" s="23">
        <v>0.45</v>
      </c>
      <c r="O12" s="23">
        <v>0.45</v>
      </c>
      <c r="P12" s="74">
        <f t="shared" si="0"/>
        <v>2.7</v>
      </c>
    </row>
    <row r="13" spans="1:16">
      <c r="A13" s="19" t="s">
        <v>511</v>
      </c>
      <c r="B13" s="19" t="s">
        <v>348</v>
      </c>
      <c r="C13" s="19">
        <v>5720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180.4</v>
      </c>
      <c r="N13" s="23">
        <v>180.4</v>
      </c>
      <c r="O13" s="23">
        <v>180.4</v>
      </c>
      <c r="P13" s="74">
        <f t="shared" si="0"/>
        <v>541.20000000000005</v>
      </c>
    </row>
    <row r="14" spans="1:16">
      <c r="A14" s="22" t="s">
        <v>508</v>
      </c>
      <c r="B14" s="22" t="s">
        <v>349</v>
      </c>
      <c r="C14" s="22">
        <v>5704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349.3</v>
      </c>
      <c r="J14" s="23">
        <v>349.3</v>
      </c>
      <c r="K14" s="23">
        <v>349.3</v>
      </c>
      <c r="L14" s="23">
        <v>349.3</v>
      </c>
      <c r="M14" s="23">
        <v>349.3</v>
      </c>
      <c r="N14" s="23">
        <v>349.3</v>
      </c>
      <c r="O14" s="23">
        <v>349.3</v>
      </c>
      <c r="P14" s="74">
        <f t="shared" si="0"/>
        <v>2445.1000000000004</v>
      </c>
    </row>
    <row r="15" spans="1:16">
      <c r="A15" s="22" t="s">
        <v>331</v>
      </c>
      <c r="B15" s="22" t="s">
        <v>349</v>
      </c>
      <c r="C15" s="22">
        <v>5704</v>
      </c>
      <c r="D15" s="23">
        <v>678.2</v>
      </c>
      <c r="E15" s="23">
        <v>678.2</v>
      </c>
      <c r="F15" s="23">
        <v>678.2</v>
      </c>
      <c r="G15" s="23">
        <v>678.2</v>
      </c>
      <c r="H15" s="23">
        <v>678.2</v>
      </c>
      <c r="I15" s="23">
        <v>678.2</v>
      </c>
      <c r="J15" s="23">
        <v>678.2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74">
        <f t="shared" si="0"/>
        <v>4747.3999999999996</v>
      </c>
    </row>
    <row r="16" spans="1:16">
      <c r="D16" s="24">
        <f>SUM(D3:D15)</f>
        <v>3113.8</v>
      </c>
      <c r="E16" s="24">
        <f t="shared" ref="E16:O16" si="1">SUM(E3:E15)</f>
        <v>3113.8</v>
      </c>
      <c r="F16" s="24">
        <f t="shared" si="1"/>
        <v>3113.8</v>
      </c>
      <c r="G16" s="24">
        <f t="shared" si="1"/>
        <v>3126.6000000000004</v>
      </c>
      <c r="H16" s="24">
        <f t="shared" si="1"/>
        <v>3126.6000000000004</v>
      </c>
      <c r="I16" s="24">
        <f t="shared" si="1"/>
        <v>3475.9000000000005</v>
      </c>
      <c r="J16" s="24">
        <f t="shared" si="1"/>
        <v>3463.1000000000004</v>
      </c>
      <c r="K16" s="24">
        <f t="shared" si="1"/>
        <v>2784.4500000000003</v>
      </c>
      <c r="L16" s="24">
        <f t="shared" si="1"/>
        <v>2784.4500000000003</v>
      </c>
      <c r="M16" s="24">
        <f t="shared" si="1"/>
        <v>2964.8500000000004</v>
      </c>
      <c r="N16" s="24">
        <f t="shared" si="1"/>
        <v>2964.8500000000004</v>
      </c>
      <c r="O16" s="24">
        <f t="shared" si="1"/>
        <v>2964.8500000000004</v>
      </c>
      <c r="P16" s="73">
        <f t="shared" si="0"/>
        <v>36997.050000000003</v>
      </c>
    </row>
    <row r="17" spans="1:16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36997.050000000003</v>
      </c>
    </row>
    <row r="18" spans="1:16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6">
      <c r="C19" s="68" t="s">
        <v>360</v>
      </c>
      <c r="D19" s="69" t="s">
        <v>332</v>
      </c>
      <c r="E19" s="69" t="s">
        <v>333</v>
      </c>
      <c r="F19" s="69" t="s">
        <v>334</v>
      </c>
      <c r="G19" s="69" t="s">
        <v>335</v>
      </c>
      <c r="H19" s="69" t="s">
        <v>336</v>
      </c>
      <c r="I19" s="69" t="s">
        <v>337</v>
      </c>
      <c r="J19" s="69" t="s">
        <v>338</v>
      </c>
      <c r="K19" s="69" t="s">
        <v>339</v>
      </c>
      <c r="L19" s="69" t="s">
        <v>340</v>
      </c>
      <c r="M19" s="69" t="s">
        <v>341</v>
      </c>
      <c r="N19" s="69" t="s">
        <v>342</v>
      </c>
      <c r="O19" s="69" t="s">
        <v>343</v>
      </c>
      <c r="P19" s="69" t="s">
        <v>359</v>
      </c>
    </row>
    <row r="20" spans="1:16">
      <c r="A20" s="67" t="s">
        <v>359</v>
      </c>
      <c r="B20" s="21" t="s">
        <v>348</v>
      </c>
      <c r="C20" s="21">
        <v>5720</v>
      </c>
      <c r="D20" s="41">
        <f t="shared" ref="D20:O24" ca="1" si="2">SUMIF($C$3:$O$15,$C20,D$3:D$15)</f>
        <v>226.79999999999998</v>
      </c>
      <c r="E20" s="41">
        <f t="shared" ca="1" si="2"/>
        <v>226.79999999999998</v>
      </c>
      <c r="F20" s="41">
        <f t="shared" ca="1" si="2"/>
        <v>226.79999999999998</v>
      </c>
      <c r="G20" s="41">
        <f t="shared" ca="1" si="2"/>
        <v>239.6</v>
      </c>
      <c r="H20" s="41">
        <f t="shared" ca="1" si="2"/>
        <v>239.6</v>
      </c>
      <c r="I20" s="41">
        <f t="shared" ca="1" si="2"/>
        <v>239.6</v>
      </c>
      <c r="J20" s="41">
        <f t="shared" ca="1" si="2"/>
        <v>226.79999999999998</v>
      </c>
      <c r="K20" s="41">
        <f t="shared" ca="1" si="2"/>
        <v>226.35</v>
      </c>
      <c r="L20" s="41">
        <f t="shared" ca="1" si="2"/>
        <v>226.35</v>
      </c>
      <c r="M20" s="41">
        <f t="shared" ca="1" si="2"/>
        <v>406.75</v>
      </c>
      <c r="N20" s="41">
        <f t="shared" ca="1" si="2"/>
        <v>406.75</v>
      </c>
      <c r="O20" s="41">
        <f t="shared" ca="1" si="2"/>
        <v>406.75</v>
      </c>
      <c r="P20" s="71">
        <f ca="1">SUM(D20:O20)</f>
        <v>3298.95</v>
      </c>
    </row>
    <row r="21" spans="1:16">
      <c r="B21" s="20" t="s">
        <v>347</v>
      </c>
      <c r="C21" s="20">
        <v>5721</v>
      </c>
      <c r="D21" s="41">
        <f t="shared" ca="1" si="2"/>
        <v>166.4</v>
      </c>
      <c r="E21" s="41">
        <f t="shared" ca="1" si="2"/>
        <v>166.4</v>
      </c>
      <c r="F21" s="41">
        <f t="shared" ca="1" si="2"/>
        <v>166.4</v>
      </c>
      <c r="G21" s="41">
        <f t="shared" ca="1" si="2"/>
        <v>166.4</v>
      </c>
      <c r="H21" s="41">
        <f t="shared" ca="1" si="2"/>
        <v>166.4</v>
      </c>
      <c r="I21" s="41">
        <f t="shared" ca="1" si="2"/>
        <v>166.4</v>
      </c>
      <c r="J21" s="41">
        <f t="shared" ca="1" si="2"/>
        <v>166.4</v>
      </c>
      <c r="K21" s="41">
        <f t="shared" ca="1" si="2"/>
        <v>166.4</v>
      </c>
      <c r="L21" s="41">
        <f t="shared" ca="1" si="2"/>
        <v>166.4</v>
      </c>
      <c r="M21" s="41">
        <f t="shared" ca="1" si="2"/>
        <v>166.4</v>
      </c>
      <c r="N21" s="41">
        <f t="shared" ca="1" si="2"/>
        <v>166.4</v>
      </c>
      <c r="O21" s="41">
        <f t="shared" ca="1" si="2"/>
        <v>166.4</v>
      </c>
      <c r="P21" s="71">
        <f t="shared" ref="P21:P25" ca="1" si="3">SUM(D21:O21)</f>
        <v>1996.8000000000004</v>
      </c>
    </row>
    <row r="22" spans="1:16">
      <c r="B22" s="18" t="s">
        <v>346</v>
      </c>
      <c r="C22" s="18">
        <v>5722</v>
      </c>
      <c r="D22" s="41">
        <f t="shared" ca="1" si="2"/>
        <v>2042.4</v>
      </c>
      <c r="E22" s="41">
        <f t="shared" ca="1" si="2"/>
        <v>2042.4</v>
      </c>
      <c r="F22" s="41">
        <f t="shared" ca="1" si="2"/>
        <v>2042.4</v>
      </c>
      <c r="G22" s="41">
        <f t="shared" ca="1" si="2"/>
        <v>2042.4</v>
      </c>
      <c r="H22" s="41">
        <f t="shared" ca="1" si="2"/>
        <v>2042.4</v>
      </c>
      <c r="I22" s="41">
        <f t="shared" ca="1" si="2"/>
        <v>2042.4</v>
      </c>
      <c r="J22" s="41">
        <f t="shared" ca="1" si="2"/>
        <v>2042.4</v>
      </c>
      <c r="K22" s="41">
        <f t="shared" ca="1" si="2"/>
        <v>2042.4</v>
      </c>
      <c r="L22" s="41">
        <f t="shared" ca="1" si="2"/>
        <v>2042.4</v>
      </c>
      <c r="M22" s="41">
        <f t="shared" ca="1" si="2"/>
        <v>2042.4</v>
      </c>
      <c r="N22" s="41">
        <f t="shared" ca="1" si="2"/>
        <v>2042.4</v>
      </c>
      <c r="O22" s="41">
        <f t="shared" ca="1" si="2"/>
        <v>2042.4</v>
      </c>
      <c r="P22" s="71">
        <f t="shared" ca="1" si="3"/>
        <v>24508.800000000003</v>
      </c>
    </row>
    <row r="23" spans="1:16">
      <c r="B23" s="75" t="s">
        <v>370</v>
      </c>
      <c r="C23" s="75">
        <v>5708</v>
      </c>
      <c r="D23" s="41">
        <f t="shared" ca="1" si="2"/>
        <v>0</v>
      </c>
      <c r="E23" s="41">
        <f t="shared" ca="1" si="2"/>
        <v>0</v>
      </c>
      <c r="F23" s="41">
        <f t="shared" ca="1" si="2"/>
        <v>0</v>
      </c>
      <c r="G23" s="41">
        <f t="shared" ca="1" si="2"/>
        <v>0</v>
      </c>
      <c r="H23" s="41">
        <f t="shared" ca="1" si="2"/>
        <v>0</v>
      </c>
      <c r="I23" s="41">
        <f t="shared" ca="1" si="2"/>
        <v>0</v>
      </c>
      <c r="J23" s="41">
        <f t="shared" ca="1" si="2"/>
        <v>0</v>
      </c>
      <c r="K23" s="41">
        <f t="shared" ca="1" si="2"/>
        <v>0</v>
      </c>
      <c r="L23" s="41">
        <f t="shared" ca="1" si="2"/>
        <v>0</v>
      </c>
      <c r="M23" s="41">
        <f t="shared" ca="1" si="2"/>
        <v>0</v>
      </c>
      <c r="N23" s="41">
        <f t="shared" ca="1" si="2"/>
        <v>0</v>
      </c>
      <c r="O23" s="41">
        <f t="shared" ca="1" si="2"/>
        <v>0</v>
      </c>
      <c r="P23" s="71">
        <f t="shared" ca="1" si="3"/>
        <v>0</v>
      </c>
    </row>
    <row r="24" spans="1:16">
      <c r="B24" s="22" t="s">
        <v>349</v>
      </c>
      <c r="C24" s="22">
        <v>5704</v>
      </c>
      <c r="D24" s="41">
        <f t="shared" ca="1" si="2"/>
        <v>678.2</v>
      </c>
      <c r="E24" s="41">
        <f t="shared" ca="1" si="2"/>
        <v>678.2</v>
      </c>
      <c r="F24" s="41">
        <f t="shared" ca="1" si="2"/>
        <v>678.2</v>
      </c>
      <c r="G24" s="41">
        <f t="shared" ca="1" si="2"/>
        <v>678.2</v>
      </c>
      <c r="H24" s="41">
        <f t="shared" ca="1" si="2"/>
        <v>678.2</v>
      </c>
      <c r="I24" s="41">
        <f t="shared" ca="1" si="2"/>
        <v>1027.5</v>
      </c>
      <c r="J24" s="41">
        <f t="shared" ca="1" si="2"/>
        <v>1027.5</v>
      </c>
      <c r="K24" s="41">
        <f t="shared" ca="1" si="2"/>
        <v>349.3</v>
      </c>
      <c r="L24" s="41">
        <f t="shared" ca="1" si="2"/>
        <v>349.3</v>
      </c>
      <c r="M24" s="41">
        <f t="shared" ca="1" si="2"/>
        <v>349.3</v>
      </c>
      <c r="N24" s="41">
        <f t="shared" ca="1" si="2"/>
        <v>349.3</v>
      </c>
      <c r="O24" s="41">
        <f t="shared" ca="1" si="2"/>
        <v>349.3</v>
      </c>
      <c r="P24" s="71">
        <f t="shared" ca="1" si="3"/>
        <v>7192.5000000000009</v>
      </c>
    </row>
    <row r="25" spans="1:16">
      <c r="C25" s="70" t="s">
        <v>359</v>
      </c>
      <c r="D25" s="71">
        <f ca="1">SUM(D20:D24)</f>
        <v>3113.8</v>
      </c>
      <c r="E25" s="71">
        <f t="shared" ref="E25:O25" ca="1" si="4">SUM(E20:E24)</f>
        <v>3113.8</v>
      </c>
      <c r="F25" s="71">
        <f t="shared" ca="1" si="4"/>
        <v>3113.8</v>
      </c>
      <c r="G25" s="71">
        <f t="shared" ca="1" si="4"/>
        <v>3126.6000000000004</v>
      </c>
      <c r="H25" s="71">
        <f t="shared" ca="1" si="4"/>
        <v>3126.6000000000004</v>
      </c>
      <c r="I25" s="71">
        <f t="shared" ca="1" si="4"/>
        <v>3475.9</v>
      </c>
      <c r="J25" s="71">
        <f t="shared" ca="1" si="4"/>
        <v>3463.1</v>
      </c>
      <c r="K25" s="71">
        <f t="shared" ca="1" si="4"/>
        <v>2784.4500000000003</v>
      </c>
      <c r="L25" s="71">
        <f t="shared" ca="1" si="4"/>
        <v>2784.4500000000003</v>
      </c>
      <c r="M25" s="71">
        <f t="shared" ca="1" si="4"/>
        <v>2964.8500000000004</v>
      </c>
      <c r="N25" s="71">
        <f t="shared" ca="1" si="4"/>
        <v>2964.8500000000004</v>
      </c>
      <c r="O25" s="71">
        <f t="shared" ca="1" si="4"/>
        <v>2964.8500000000004</v>
      </c>
      <c r="P25" s="71">
        <f t="shared" ca="1" si="3"/>
        <v>36997.050000000003</v>
      </c>
    </row>
    <row r="27" spans="1:16">
      <c r="C27" t="s">
        <v>358</v>
      </c>
      <c r="D27" s="40">
        <f ca="1">+D16-D25</f>
        <v>0</v>
      </c>
      <c r="E27" s="40">
        <f t="shared" ref="E27:P27" ca="1" si="5">+E16-E25</f>
        <v>0</v>
      </c>
      <c r="F27" s="40">
        <f t="shared" ca="1" si="5"/>
        <v>0</v>
      </c>
      <c r="G27" s="40">
        <f t="shared" ca="1" si="5"/>
        <v>0</v>
      </c>
      <c r="H27" s="40">
        <f t="shared" ca="1" si="5"/>
        <v>0</v>
      </c>
      <c r="I27" s="40">
        <f t="shared" ca="1" si="5"/>
        <v>0</v>
      </c>
      <c r="J27" s="40">
        <f t="shared" ca="1" si="5"/>
        <v>0</v>
      </c>
      <c r="K27" s="40">
        <f t="shared" ca="1" si="5"/>
        <v>0</v>
      </c>
      <c r="L27" s="40">
        <f t="shared" ca="1" si="5"/>
        <v>0</v>
      </c>
      <c r="M27" s="40">
        <f t="shared" ca="1" si="5"/>
        <v>0</v>
      </c>
      <c r="N27" s="40">
        <f t="shared" ca="1" si="5"/>
        <v>0</v>
      </c>
      <c r="O27" s="40">
        <f t="shared" ca="1" si="5"/>
        <v>0</v>
      </c>
      <c r="P27" s="40">
        <f t="shared" ca="1" si="5"/>
        <v>0</v>
      </c>
    </row>
  </sheetData>
  <mergeCells count="13">
    <mergeCell ref="P1:P2"/>
    <mergeCell ref="J1:J2"/>
    <mergeCell ref="K1:K2"/>
    <mergeCell ref="L1:L2"/>
    <mergeCell ref="M1:M2"/>
    <mergeCell ref="N1:N2"/>
    <mergeCell ref="O1:O2"/>
    <mergeCell ref="I1:I2"/>
    <mergeCell ref="D1:D2"/>
    <mergeCell ref="E1:E2"/>
    <mergeCell ref="F1:F2"/>
    <mergeCell ref="G1:G2"/>
    <mergeCell ref="H1:H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118E-658C-4D3B-A31C-2ED258CF04D2}">
  <dimension ref="A1:W26"/>
  <sheetViews>
    <sheetView showGridLines="0" workbookViewId="0">
      <selection activeCell="N7" sqref="N7"/>
    </sheetView>
  </sheetViews>
  <sheetFormatPr baseColWidth="10" defaultColWidth="11.42578125" defaultRowHeight="15"/>
  <cols>
    <col min="3" max="4" width="12.5703125" customWidth="1"/>
    <col min="5" max="6" width="11.85546875" bestFit="1" customWidth="1"/>
    <col min="7" max="10" width="11.85546875" style="58" bestFit="1" customWidth="1"/>
    <col min="11" max="12" width="12.5703125" style="58" customWidth="1"/>
    <col min="13" max="14" width="12.5703125" customWidth="1"/>
    <col min="16" max="16" width="12.85546875" bestFit="1" customWidth="1"/>
  </cols>
  <sheetData>
    <row r="1" spans="1:23" s="53" customFormat="1" ht="15" customHeight="1">
      <c r="A1" s="167" t="s">
        <v>383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23" ht="1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53"/>
      <c r="Q2" s="53"/>
      <c r="R2" s="53"/>
      <c r="S2" s="53"/>
      <c r="T2" s="53"/>
      <c r="U2" s="53"/>
      <c r="V2" s="53"/>
      <c r="W2" s="53"/>
    </row>
    <row r="3" spans="1:23">
      <c r="A3" s="39"/>
      <c r="B3" s="77" t="s">
        <v>378</v>
      </c>
      <c r="C3" s="44" t="s">
        <v>351</v>
      </c>
      <c r="D3" s="44" t="s">
        <v>333</v>
      </c>
      <c r="E3" s="44" t="s">
        <v>334</v>
      </c>
      <c r="F3" s="44" t="s">
        <v>335</v>
      </c>
      <c r="G3" s="44" t="s">
        <v>336</v>
      </c>
      <c r="H3" s="44" t="s">
        <v>337</v>
      </c>
      <c r="I3" s="44" t="s">
        <v>338</v>
      </c>
      <c r="J3" s="44" t="s">
        <v>339</v>
      </c>
      <c r="K3" s="44" t="s">
        <v>340</v>
      </c>
      <c r="L3" s="44" t="s">
        <v>341</v>
      </c>
      <c r="M3" s="44" t="s">
        <v>342</v>
      </c>
      <c r="N3" s="44" t="s">
        <v>343</v>
      </c>
      <c r="O3" s="44" t="s">
        <v>367</v>
      </c>
      <c r="P3" s="39"/>
      <c r="Q3" s="39"/>
      <c r="R3" s="39"/>
      <c r="S3" s="39"/>
      <c r="T3" s="39"/>
      <c r="U3" s="39"/>
      <c r="V3" s="39"/>
      <c r="W3" s="39"/>
    </row>
    <row r="4" spans="1:23">
      <c r="A4" s="102" t="s">
        <v>325</v>
      </c>
      <c r="B4" s="43" t="s">
        <v>379</v>
      </c>
      <c r="C4" s="120">
        <v>1383.2</v>
      </c>
      <c r="D4" s="120">
        <v>1383.2</v>
      </c>
      <c r="E4" s="120">
        <v>1383.2</v>
      </c>
      <c r="F4" s="120">
        <v>1383.2</v>
      </c>
      <c r="G4" s="120">
        <v>1383.2</v>
      </c>
      <c r="H4" s="120">
        <v>1383.2</v>
      </c>
      <c r="I4" s="120">
        <v>1284.75</v>
      </c>
      <c r="J4" s="120">
        <v>1269.75</v>
      </c>
      <c r="K4" s="120">
        <v>1254.75</v>
      </c>
      <c r="L4" s="120">
        <v>1239.75</v>
      </c>
      <c r="M4" s="120">
        <v>1308.75</v>
      </c>
      <c r="N4" s="120">
        <v>1308.75</v>
      </c>
      <c r="O4" s="56">
        <f>SUM(C4:N4)</f>
        <v>15965.7</v>
      </c>
      <c r="P4" s="54"/>
    </row>
    <row r="5" spans="1:23">
      <c r="A5" s="102" t="s">
        <v>326</v>
      </c>
      <c r="B5" s="43" t="s">
        <v>379</v>
      </c>
      <c r="C5" s="120">
        <v>31018.25</v>
      </c>
      <c r="D5" s="120">
        <v>3353.25</v>
      </c>
      <c r="E5" s="120">
        <v>3353.25</v>
      </c>
      <c r="F5" s="120">
        <v>3353.25</v>
      </c>
      <c r="G5" s="120">
        <v>3353.25</v>
      </c>
      <c r="H5" s="120">
        <v>3353.25</v>
      </c>
      <c r="I5" s="120">
        <v>3353.25</v>
      </c>
      <c r="J5" s="120">
        <v>3353.25</v>
      </c>
      <c r="K5" s="120">
        <v>3353.25</v>
      </c>
      <c r="L5" s="120">
        <v>3353.25</v>
      </c>
      <c r="M5" s="120">
        <v>3353.25</v>
      </c>
      <c r="N5" s="120">
        <v>3353.25</v>
      </c>
      <c r="O5" s="56">
        <f t="shared" ref="O5:O10" si="0">SUM(C5:N5)</f>
        <v>67904</v>
      </c>
      <c r="P5" s="54"/>
    </row>
    <row r="6" spans="1:23">
      <c r="A6" s="102" t="s">
        <v>327</v>
      </c>
      <c r="B6" s="43" t="s">
        <v>379</v>
      </c>
      <c r="C6" s="120">
        <v>438.75</v>
      </c>
      <c r="D6" s="120">
        <v>438.75</v>
      </c>
      <c r="E6" s="120">
        <v>438.75</v>
      </c>
      <c r="F6" s="127"/>
      <c r="G6" s="127"/>
      <c r="H6" s="127"/>
      <c r="I6" s="127"/>
      <c r="J6" s="127"/>
      <c r="K6" s="127"/>
      <c r="L6" s="127"/>
      <c r="M6" s="127"/>
      <c r="N6" s="127"/>
      <c r="O6" s="56">
        <f t="shared" si="0"/>
        <v>1316.25</v>
      </c>
      <c r="P6" s="54"/>
    </row>
    <row r="7" spans="1:23">
      <c r="A7" s="103" t="s">
        <v>501</v>
      </c>
      <c r="B7" s="45" t="s">
        <v>379</v>
      </c>
      <c r="C7" s="120">
        <v>1207</v>
      </c>
      <c r="D7" s="120">
        <v>907.75</v>
      </c>
      <c r="E7" s="120">
        <v>907.75</v>
      </c>
      <c r="F7" s="120">
        <v>907.75</v>
      </c>
      <c r="G7" s="120">
        <v>907.75</v>
      </c>
      <c r="H7" s="120">
        <v>907.75</v>
      </c>
      <c r="I7" s="120">
        <v>907.75</v>
      </c>
      <c r="J7" s="120">
        <v>907.75</v>
      </c>
      <c r="K7" s="120">
        <v>907.75</v>
      </c>
      <c r="L7" s="120">
        <v>907.75</v>
      </c>
      <c r="M7" s="120">
        <v>907.75</v>
      </c>
      <c r="N7" s="120">
        <v>907.75</v>
      </c>
      <c r="O7" s="56">
        <f t="shared" si="0"/>
        <v>11192.25</v>
      </c>
      <c r="P7" s="54"/>
    </row>
    <row r="8" spans="1:23">
      <c r="A8" s="104" t="s">
        <v>329</v>
      </c>
      <c r="B8" s="20" t="s">
        <v>380</v>
      </c>
      <c r="C8" s="122">
        <v>971</v>
      </c>
      <c r="D8" s="125">
        <v>733.2</v>
      </c>
      <c r="E8" s="125">
        <v>733.2</v>
      </c>
      <c r="F8" s="125">
        <v>733.2</v>
      </c>
      <c r="G8" s="125">
        <v>720.15</v>
      </c>
      <c r="H8" s="125">
        <v>730.75</v>
      </c>
      <c r="I8" s="125">
        <v>730.75</v>
      </c>
      <c r="J8" s="125">
        <v>730.75</v>
      </c>
      <c r="K8" s="125">
        <v>730.75</v>
      </c>
      <c r="L8" s="125">
        <v>730.75</v>
      </c>
      <c r="M8" s="125">
        <v>730.75</v>
      </c>
      <c r="N8" s="125">
        <v>730.75</v>
      </c>
      <c r="O8" s="56">
        <f t="shared" si="0"/>
        <v>9006</v>
      </c>
      <c r="P8" s="54"/>
    </row>
    <row r="9" spans="1:23">
      <c r="A9" s="104" t="s">
        <v>508</v>
      </c>
      <c r="B9" s="20" t="s">
        <v>380</v>
      </c>
      <c r="C9" s="127"/>
      <c r="D9" s="127"/>
      <c r="E9" s="127"/>
      <c r="F9" s="127"/>
      <c r="G9" s="127"/>
      <c r="H9" s="121">
        <v>1156.6500000000001</v>
      </c>
      <c r="I9" s="121">
        <v>1136.6500000000001</v>
      </c>
      <c r="J9" s="121">
        <v>1139.1500000000001</v>
      </c>
      <c r="K9" s="121">
        <v>1144.1500000000001</v>
      </c>
      <c r="L9" s="121">
        <v>1127.6500000000001</v>
      </c>
      <c r="M9" s="133">
        <v>1140.8499999999999</v>
      </c>
      <c r="N9" s="133">
        <v>1140.8499999999999</v>
      </c>
      <c r="O9" s="56">
        <f t="shared" ref="O9" si="1">SUM(C9:N9)</f>
        <v>7985.9500000000007</v>
      </c>
      <c r="P9" s="54"/>
    </row>
    <row r="10" spans="1:23">
      <c r="A10" s="103" t="s">
        <v>505</v>
      </c>
      <c r="B10" s="45" t="s">
        <v>379</v>
      </c>
      <c r="C10" s="121">
        <v>0.85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56">
        <f t="shared" si="0"/>
        <v>0.85</v>
      </c>
      <c r="P10" s="54"/>
    </row>
    <row r="11" spans="1:23">
      <c r="A11" s="103" t="s">
        <v>511</v>
      </c>
      <c r="B11" s="45" t="s">
        <v>379</v>
      </c>
      <c r="C11" s="121">
        <v>0.85</v>
      </c>
      <c r="D11" s="127"/>
      <c r="E11" s="127"/>
      <c r="F11" s="127"/>
      <c r="G11" s="127"/>
      <c r="H11" s="127"/>
      <c r="I11" s="127"/>
      <c r="J11" s="127"/>
      <c r="K11" s="121">
        <v>239.9</v>
      </c>
      <c r="L11" s="121">
        <v>711.15</v>
      </c>
      <c r="M11" s="120">
        <v>721.5</v>
      </c>
      <c r="N11" s="120">
        <v>704.25</v>
      </c>
      <c r="O11" s="56">
        <f t="shared" ref="O11" si="2">SUM(C11:N11)</f>
        <v>2377.65</v>
      </c>
      <c r="P11" s="54"/>
    </row>
    <row r="12" spans="1:23">
      <c r="A12" s="77" t="s">
        <v>377</v>
      </c>
      <c r="B12" s="77" t="s">
        <v>377</v>
      </c>
      <c r="C12" s="55">
        <f>SUM(C4:C11)</f>
        <v>35019.899999999994</v>
      </c>
      <c r="D12" s="55">
        <f t="shared" ref="D12:N12" si="3">SUM(D4:D11)</f>
        <v>6816.15</v>
      </c>
      <c r="E12" s="55">
        <f t="shared" si="3"/>
        <v>6816.15</v>
      </c>
      <c r="F12" s="55">
        <f t="shared" si="3"/>
        <v>6377.4</v>
      </c>
      <c r="G12" s="55">
        <f t="shared" si="3"/>
        <v>6364.3499999999995</v>
      </c>
      <c r="H12" s="55">
        <f t="shared" si="3"/>
        <v>7531.6</v>
      </c>
      <c r="I12" s="55">
        <f t="shared" si="3"/>
        <v>7413.15</v>
      </c>
      <c r="J12" s="55">
        <f t="shared" si="3"/>
        <v>7400.65</v>
      </c>
      <c r="K12" s="55">
        <f t="shared" si="3"/>
        <v>7630.5499999999993</v>
      </c>
      <c r="L12" s="55">
        <f t="shared" si="3"/>
        <v>8070.2999999999993</v>
      </c>
      <c r="M12" s="55">
        <f t="shared" si="3"/>
        <v>8162.85</v>
      </c>
      <c r="N12" s="55">
        <f t="shared" si="3"/>
        <v>8145.6</v>
      </c>
      <c r="O12" s="55">
        <f t="shared" ref="O12" si="4">SUM(O4:O8)</f>
        <v>105384.2</v>
      </c>
      <c r="P12" s="54"/>
    </row>
    <row r="13" spans="1:23" s="53" customFormat="1">
      <c r="A13" s="111" t="s">
        <v>382</v>
      </c>
      <c r="B13" s="111">
        <v>3900</v>
      </c>
      <c r="C13" s="112">
        <f>C12*2/100</f>
        <v>700.39799999999991</v>
      </c>
      <c r="D13" s="112">
        <f t="shared" ref="D13:O13" si="5">D12*2/100</f>
        <v>136.32299999999998</v>
      </c>
      <c r="E13" s="112">
        <f>E12*2/100</f>
        <v>136.32299999999998</v>
      </c>
      <c r="F13" s="112">
        <f t="shared" si="5"/>
        <v>127.54799999999999</v>
      </c>
      <c r="G13" s="112">
        <f t="shared" si="5"/>
        <v>127.28699999999999</v>
      </c>
      <c r="H13" s="112">
        <f>H12*2/100</f>
        <v>150.63200000000001</v>
      </c>
      <c r="I13" s="112">
        <f t="shared" si="5"/>
        <v>148.26300000000001</v>
      </c>
      <c r="J13" s="112">
        <f t="shared" si="5"/>
        <v>148.01300000000001</v>
      </c>
      <c r="K13" s="112">
        <f t="shared" si="5"/>
        <v>152.61099999999999</v>
      </c>
      <c r="L13" s="112">
        <f t="shared" ref="L13" si="6">L12*2/100</f>
        <v>161.40599999999998</v>
      </c>
      <c r="M13" s="112">
        <f t="shared" si="5"/>
        <v>163.25700000000001</v>
      </c>
      <c r="N13" s="112">
        <f t="shared" si="5"/>
        <v>162.91200000000001</v>
      </c>
      <c r="O13" s="113">
        <f t="shared" si="5"/>
        <v>2107.6839999999997</v>
      </c>
      <c r="P13" s="54"/>
      <c r="Q13"/>
      <c r="R13"/>
      <c r="S13"/>
      <c r="T13"/>
      <c r="U13"/>
      <c r="V13"/>
      <c r="W13"/>
    </row>
    <row r="14" spans="1:23">
      <c r="A14" s="111" t="s">
        <v>381</v>
      </c>
      <c r="B14" s="111">
        <v>2279</v>
      </c>
      <c r="C14" s="113">
        <f>C12-C13</f>
        <v>34319.501999999993</v>
      </c>
      <c r="D14" s="113">
        <f t="shared" ref="D14:O14" si="7">D12-D13</f>
        <v>6679.8269999999993</v>
      </c>
      <c r="E14" s="113">
        <f t="shared" si="7"/>
        <v>6679.8269999999993</v>
      </c>
      <c r="F14" s="113">
        <f t="shared" si="7"/>
        <v>6249.8519999999999</v>
      </c>
      <c r="G14" s="113">
        <f t="shared" si="7"/>
        <v>6237.0629999999992</v>
      </c>
      <c r="H14" s="113">
        <f>H12-H13</f>
        <v>7380.9680000000008</v>
      </c>
      <c r="I14" s="113">
        <f t="shared" si="7"/>
        <v>7264.8869999999997</v>
      </c>
      <c r="J14" s="113">
        <f t="shared" si="7"/>
        <v>7252.6369999999997</v>
      </c>
      <c r="K14" s="113">
        <f t="shared" si="7"/>
        <v>7477.9389999999994</v>
      </c>
      <c r="L14" s="113">
        <f t="shared" ref="L14" si="8">L12-L13</f>
        <v>7908.8939999999993</v>
      </c>
      <c r="M14" s="113">
        <f t="shared" si="7"/>
        <v>7999.5930000000008</v>
      </c>
      <c r="N14" s="113">
        <f t="shared" si="7"/>
        <v>7982.6880000000001</v>
      </c>
      <c r="O14" s="113">
        <f t="shared" si="7"/>
        <v>103276.516</v>
      </c>
      <c r="P14" s="57"/>
      <c r="Q14" s="53"/>
      <c r="R14" s="53"/>
      <c r="S14" s="53"/>
      <c r="T14" s="53"/>
      <c r="U14" s="53"/>
      <c r="V14" s="53"/>
      <c r="W14" s="53"/>
    </row>
    <row r="15" spans="1:23">
      <c r="E15" s="58"/>
      <c r="G15"/>
      <c r="H15"/>
      <c r="I15"/>
      <c r="J15"/>
      <c r="K15"/>
      <c r="L15"/>
    </row>
    <row r="16" spans="1:23">
      <c r="E16" s="58"/>
    </row>
    <row r="17" spans="1:15">
      <c r="B17" s="101"/>
    </row>
    <row r="18" spans="1:15">
      <c r="A18" s="60" t="s">
        <v>367</v>
      </c>
      <c r="B18" s="77" t="s">
        <v>379</v>
      </c>
      <c r="C18" s="71">
        <f ca="1">SUMIF($B$4:$O$11,$B$18,C4:C11)</f>
        <v>34048.899999999994</v>
      </c>
      <c r="D18" s="71">
        <f ca="1">SUMIF($B$4:$O$11,$B$18,D4:D11)</f>
        <v>6082.95</v>
      </c>
      <c r="E18" s="71">
        <f ca="1">SUMIF($B$4:$O$11,$B$18,E4:E11)</f>
        <v>6082.95</v>
      </c>
      <c r="F18" s="71">
        <f ca="1">SUMIF($B$4:$O$11,$B$18,F4:F11)</f>
        <v>5644.2</v>
      </c>
      <c r="G18" s="71">
        <f t="shared" ref="G18:N18" ca="1" si="9">SUMIF($B$4:$O$11,$B$18,G4:G11)</f>
        <v>5644.2</v>
      </c>
      <c r="H18" s="71">
        <f t="shared" ca="1" si="9"/>
        <v>5644.2</v>
      </c>
      <c r="I18" s="71">
        <f t="shared" ca="1" si="9"/>
        <v>5545.75</v>
      </c>
      <c r="J18" s="71">
        <f ca="1">SUMIF($B$4:$O$11,$B$18,J4:J11)</f>
        <v>5530.75</v>
      </c>
      <c r="K18" s="71">
        <f ca="1">SUMIF($B$4:$O$11,$B$18,K4:K11)</f>
        <v>5755.65</v>
      </c>
      <c r="L18" s="71">
        <f t="shared" ca="1" si="9"/>
        <v>6211.9</v>
      </c>
      <c r="M18" s="71">
        <f t="shared" ca="1" si="9"/>
        <v>6291.25</v>
      </c>
      <c r="N18" s="71">
        <f t="shared" ca="1" si="9"/>
        <v>6274</v>
      </c>
      <c r="O18" s="71">
        <f ca="1">SUMIF($B$4:$O$8,$B$18,O4:O8)</f>
        <v>96378.2</v>
      </c>
    </row>
    <row r="19" spans="1:15">
      <c r="A19" s="42"/>
      <c r="B19" s="77" t="s">
        <v>384</v>
      </c>
      <c r="C19" s="71">
        <f ca="1">+C18*2%</f>
        <v>680.97799999999995</v>
      </c>
      <c r="D19" s="71">
        <f t="shared" ref="D19:O19" ca="1" si="10">+D18*2%</f>
        <v>121.65899999999999</v>
      </c>
      <c r="E19" s="71">
        <f t="shared" ca="1" si="10"/>
        <v>121.65899999999999</v>
      </c>
      <c r="F19" s="71">
        <f t="shared" ca="1" si="10"/>
        <v>112.884</v>
      </c>
      <c r="G19" s="71">
        <f t="shared" ca="1" si="10"/>
        <v>112.884</v>
      </c>
      <c r="H19" s="71">
        <f ca="1">+H18*2%</f>
        <v>112.884</v>
      </c>
      <c r="I19" s="71">
        <f t="shared" ref="I19:N19" ca="1" si="11">+I18*2%</f>
        <v>110.91500000000001</v>
      </c>
      <c r="J19" s="71">
        <f t="shared" ca="1" si="11"/>
        <v>110.61500000000001</v>
      </c>
      <c r="K19" s="71">
        <f t="shared" ca="1" si="11"/>
        <v>115.113</v>
      </c>
      <c r="L19" s="71">
        <f t="shared" ca="1" si="11"/>
        <v>124.238</v>
      </c>
      <c r="M19" s="71">
        <f t="shared" ca="1" si="11"/>
        <v>125.825</v>
      </c>
      <c r="N19" s="71">
        <f t="shared" ca="1" si="11"/>
        <v>125.48</v>
      </c>
      <c r="O19" s="71">
        <f t="shared" ca="1" si="10"/>
        <v>1927.5640000000001</v>
      </c>
    </row>
    <row r="20" spans="1:15">
      <c r="A20" s="42"/>
      <c r="B20" s="77" t="s">
        <v>385</v>
      </c>
      <c r="C20" s="71">
        <f ca="1">+C18-C19</f>
        <v>33367.921999999991</v>
      </c>
      <c r="D20" s="71">
        <f t="shared" ref="D20:O20" ca="1" si="12">+D18-D19</f>
        <v>5961.2910000000002</v>
      </c>
      <c r="E20" s="71">
        <f t="shared" ca="1" si="12"/>
        <v>5961.2910000000002</v>
      </c>
      <c r="F20" s="71">
        <f t="shared" ca="1" si="12"/>
        <v>5531.3159999999998</v>
      </c>
      <c r="G20" s="71">
        <f t="shared" ca="1" si="12"/>
        <v>5531.3159999999998</v>
      </c>
      <c r="H20" s="71">
        <f t="shared" ca="1" si="12"/>
        <v>5531.3159999999998</v>
      </c>
      <c r="I20" s="71">
        <f t="shared" ref="I20:N20" ca="1" si="13">+I18-I19</f>
        <v>5434.835</v>
      </c>
      <c r="J20" s="71">
        <f t="shared" ca="1" si="13"/>
        <v>5420.1350000000002</v>
      </c>
      <c r="K20" s="71">
        <f t="shared" ca="1" si="13"/>
        <v>5640.5369999999994</v>
      </c>
      <c r="L20" s="71">
        <f t="shared" ca="1" si="13"/>
        <v>6087.6619999999994</v>
      </c>
      <c r="M20" s="71">
        <f t="shared" ca="1" si="13"/>
        <v>6165.4250000000002</v>
      </c>
      <c r="N20" s="71">
        <f t="shared" ca="1" si="13"/>
        <v>6148.52</v>
      </c>
      <c r="O20" s="71">
        <f t="shared" ca="1" si="12"/>
        <v>94450.635999999999</v>
      </c>
    </row>
    <row r="21" spans="1:15">
      <c r="A21" s="59"/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</row>
    <row r="22" spans="1:15">
      <c r="A22" s="60" t="s">
        <v>367</v>
      </c>
      <c r="B22" s="77" t="s">
        <v>380</v>
      </c>
      <c r="C22" s="71">
        <f ca="1">SUMIF($B$4:$O$11,$B$22,C4:C11)</f>
        <v>971</v>
      </c>
      <c r="D22" s="71">
        <f t="shared" ref="D22:N22" ca="1" si="14">SUMIF($B$4:$O$11,$B$22,D4:D11)</f>
        <v>733.2</v>
      </c>
      <c r="E22" s="71">
        <f t="shared" ca="1" si="14"/>
        <v>733.2</v>
      </c>
      <c r="F22" s="71">
        <f t="shared" ca="1" si="14"/>
        <v>733.2</v>
      </c>
      <c r="G22" s="71">
        <f t="shared" ca="1" si="14"/>
        <v>720.15</v>
      </c>
      <c r="H22" s="71">
        <f t="shared" ca="1" si="14"/>
        <v>1887.4</v>
      </c>
      <c r="I22" s="71">
        <f t="shared" ca="1" si="14"/>
        <v>1867.4</v>
      </c>
      <c r="J22" s="71">
        <f ca="1">SUMIF($B$4:$O$11,$B$22,J4:J11)</f>
        <v>1869.9</v>
      </c>
      <c r="K22" s="71">
        <f t="shared" ca="1" si="14"/>
        <v>1874.9</v>
      </c>
      <c r="L22" s="71">
        <f t="shared" ca="1" si="14"/>
        <v>1858.4</v>
      </c>
      <c r="M22" s="71">
        <f t="shared" ca="1" si="14"/>
        <v>1871.6</v>
      </c>
      <c r="N22" s="71">
        <f t="shared" ca="1" si="14"/>
        <v>1871.6</v>
      </c>
      <c r="O22" s="71">
        <f ca="1">SUMIF($B$4:$O$8,$B$22,O4:O8)</f>
        <v>9006</v>
      </c>
    </row>
    <row r="23" spans="1:15">
      <c r="A23" s="42"/>
      <c r="B23" s="77" t="s">
        <v>384</v>
      </c>
      <c r="C23" s="71">
        <f ca="1">+C22*2%</f>
        <v>19.420000000000002</v>
      </c>
      <c r="D23" s="71">
        <f t="shared" ref="D23" ca="1" si="15">+D22*2%</f>
        <v>14.664000000000001</v>
      </c>
      <c r="E23" s="71">
        <f t="shared" ref="E23" ca="1" si="16">+E22*2%</f>
        <v>14.664000000000001</v>
      </c>
      <c r="F23" s="71">
        <f t="shared" ref="F23" ca="1" si="17">+F22*2%</f>
        <v>14.664000000000001</v>
      </c>
      <c r="G23" s="71">
        <f t="shared" ref="G23" ca="1" si="18">+G22*2%</f>
        <v>14.403</v>
      </c>
      <c r="H23" s="71">
        <f t="shared" ref="H23:N23" ca="1" si="19">+H22*2%</f>
        <v>37.748000000000005</v>
      </c>
      <c r="I23" s="71">
        <f t="shared" ca="1" si="19"/>
        <v>37.348000000000006</v>
      </c>
      <c r="J23" s="71">
        <f t="shared" ca="1" si="19"/>
        <v>37.398000000000003</v>
      </c>
      <c r="K23" s="71">
        <f t="shared" ca="1" si="19"/>
        <v>37.498000000000005</v>
      </c>
      <c r="L23" s="71">
        <f t="shared" ca="1" si="19"/>
        <v>37.167999999999999</v>
      </c>
      <c r="M23" s="71">
        <f t="shared" ca="1" si="19"/>
        <v>37.432000000000002</v>
      </c>
      <c r="N23" s="71">
        <f t="shared" ca="1" si="19"/>
        <v>37.432000000000002</v>
      </c>
      <c r="O23" s="71">
        <f t="shared" ref="O23" ca="1" si="20">+O22*2%</f>
        <v>180.12</v>
      </c>
    </row>
    <row r="24" spans="1:15">
      <c r="A24" s="42"/>
      <c r="B24" s="77" t="s">
        <v>385</v>
      </c>
      <c r="C24" s="71">
        <f ca="1">+C22-C23</f>
        <v>951.58</v>
      </c>
      <c r="D24" s="71">
        <f t="shared" ref="D24" ca="1" si="21">+D22-D23</f>
        <v>718.53600000000006</v>
      </c>
      <c r="E24" s="71">
        <f t="shared" ref="E24" ca="1" si="22">+E22-E23</f>
        <v>718.53600000000006</v>
      </c>
      <c r="F24" s="71">
        <f t="shared" ref="F24" ca="1" si="23">+F22-F23</f>
        <v>718.53600000000006</v>
      </c>
      <c r="G24" s="71">
        <f t="shared" ref="G24" ca="1" si="24">+G22-G23</f>
        <v>705.74699999999996</v>
      </c>
      <c r="H24" s="71">
        <f t="shared" ref="H24:N24" ca="1" si="25">+H22-H23</f>
        <v>1849.652</v>
      </c>
      <c r="I24" s="71">
        <f t="shared" ca="1" si="25"/>
        <v>1830.0520000000001</v>
      </c>
      <c r="J24" s="71">
        <f t="shared" ca="1" si="25"/>
        <v>1832.5020000000002</v>
      </c>
      <c r="K24" s="71">
        <f t="shared" ca="1" si="25"/>
        <v>1837.402</v>
      </c>
      <c r="L24" s="71">
        <f t="shared" ca="1" si="25"/>
        <v>1821.2320000000002</v>
      </c>
      <c r="M24" s="71">
        <f t="shared" ca="1" si="25"/>
        <v>1834.1679999999999</v>
      </c>
      <c r="N24" s="71">
        <f t="shared" ca="1" si="25"/>
        <v>1834.1679999999999</v>
      </c>
      <c r="O24" s="71">
        <f t="shared" ref="O24" ca="1" si="26">+O22-O23</f>
        <v>8825.8799999999992</v>
      </c>
    </row>
    <row r="26" spans="1:15">
      <c r="B26" t="s">
        <v>358</v>
      </c>
      <c r="C26" s="40">
        <f ca="1">+C14-C20-C24</f>
        <v>1.7053025658242404E-12</v>
      </c>
      <c r="D26" s="40">
        <f t="shared" ref="D26:G26" ca="1" si="27">+D14-D20-D24</f>
        <v>-9.0949470177292824E-13</v>
      </c>
      <c r="E26" s="40">
        <f ca="1">+E14-E20-E24</f>
        <v>-9.0949470177292824E-13</v>
      </c>
      <c r="F26" s="40">
        <f t="shared" ca="1" si="27"/>
        <v>0</v>
      </c>
      <c r="G26" s="40">
        <f t="shared" ca="1" si="27"/>
        <v>0</v>
      </c>
      <c r="H26" s="40">
        <f ca="1">+H14-H20-H24</f>
        <v>0</v>
      </c>
      <c r="I26" s="40">
        <f t="shared" ref="I26:O26" ca="1" si="28">+I14-I20-I24</f>
        <v>0</v>
      </c>
      <c r="J26" s="40">
        <f t="shared" ca="1" si="28"/>
        <v>0</v>
      </c>
      <c r="K26" s="40">
        <f t="shared" ca="1" si="28"/>
        <v>0</v>
      </c>
      <c r="L26" s="40">
        <f t="shared" ca="1" si="28"/>
        <v>0</v>
      </c>
      <c r="M26" s="40">
        <f t="shared" ca="1" si="28"/>
        <v>0</v>
      </c>
      <c r="N26" s="40">
        <f t="shared" ca="1" si="28"/>
        <v>0</v>
      </c>
      <c r="O26" s="40">
        <f t="shared" ca="1" si="28"/>
        <v>0</v>
      </c>
    </row>
  </sheetData>
  <mergeCells count="1">
    <mergeCell ref="A1:O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5C6A-F2AD-4CBB-A590-DEC8BBF4741B}">
  <sheetPr>
    <pageSetUpPr fitToPage="1"/>
  </sheetPr>
  <dimension ref="A1:P18"/>
  <sheetViews>
    <sheetView workbookViewId="0">
      <selection activeCell="J28" sqref="J28"/>
    </sheetView>
  </sheetViews>
  <sheetFormatPr baseColWidth="10" defaultRowHeight="15"/>
  <cols>
    <col min="4" max="14" width="11.5703125" bestFit="1" customWidth="1"/>
    <col min="15" max="15" width="13.28515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362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6006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74">
        <f>SUM(D3:O3)</f>
        <v>0</v>
      </c>
    </row>
    <row r="4" spans="1:16">
      <c r="A4" s="18" t="s">
        <v>326</v>
      </c>
      <c r="B4" s="18" t="s">
        <v>346</v>
      </c>
      <c r="C4" s="18">
        <v>6006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4">
        <f t="shared" ref="P4:P16" si="0">SUM(D4:O4)</f>
        <v>0</v>
      </c>
    </row>
    <row r="5" spans="1:16">
      <c r="A5" s="75" t="s">
        <v>327</v>
      </c>
      <c r="B5" s="75" t="s">
        <v>370</v>
      </c>
      <c r="C5" s="75">
        <v>6006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4">
        <f t="shared" si="0"/>
        <v>0</v>
      </c>
    </row>
    <row r="6" spans="1:16">
      <c r="A6" s="19" t="s">
        <v>328</v>
      </c>
      <c r="B6" s="19" t="s">
        <v>348</v>
      </c>
      <c r="C6" s="19">
        <v>6006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4">
        <f t="shared" si="0"/>
        <v>0</v>
      </c>
    </row>
    <row r="7" spans="1:16">
      <c r="A7" s="20" t="s">
        <v>329</v>
      </c>
      <c r="B7" s="20" t="s">
        <v>347</v>
      </c>
      <c r="C7" s="20">
        <v>6006</v>
      </c>
      <c r="D7" s="23">
        <v>200</v>
      </c>
      <c r="E7" s="23">
        <v>200</v>
      </c>
      <c r="F7" s="23">
        <v>200</v>
      </c>
      <c r="G7" s="23">
        <v>200</v>
      </c>
      <c r="H7" s="23">
        <v>200</v>
      </c>
      <c r="I7" s="23">
        <v>200</v>
      </c>
      <c r="J7" s="23">
        <v>200</v>
      </c>
      <c r="K7" s="23">
        <v>200</v>
      </c>
      <c r="L7" s="23">
        <v>200</v>
      </c>
      <c r="M7" s="23">
        <v>200</v>
      </c>
      <c r="N7" s="23">
        <v>200</v>
      </c>
      <c r="O7" s="23">
        <v>200</v>
      </c>
      <c r="P7" s="74">
        <f t="shared" si="0"/>
        <v>2400</v>
      </c>
    </row>
    <row r="8" spans="1:16">
      <c r="A8" s="21" t="s">
        <v>496</v>
      </c>
      <c r="B8" s="21" t="s">
        <v>348</v>
      </c>
      <c r="C8" s="21">
        <v>6006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74">
        <f t="shared" si="0"/>
        <v>0</v>
      </c>
    </row>
    <row r="9" spans="1:16">
      <c r="A9" s="21" t="s">
        <v>330</v>
      </c>
      <c r="B9" s="21" t="s">
        <v>348</v>
      </c>
      <c r="C9" s="21">
        <v>6006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74">
        <f t="shared" si="0"/>
        <v>0</v>
      </c>
    </row>
    <row r="10" spans="1:16">
      <c r="A10" s="21" t="s">
        <v>497</v>
      </c>
      <c r="B10" s="21" t="s">
        <v>348</v>
      </c>
      <c r="C10" s="21">
        <v>6006</v>
      </c>
      <c r="D10" s="41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74">
        <f t="shared" si="0"/>
        <v>0</v>
      </c>
    </row>
    <row r="11" spans="1:16">
      <c r="A11" s="21" t="s">
        <v>498</v>
      </c>
      <c r="B11" s="21" t="s">
        <v>348</v>
      </c>
      <c r="C11" s="21">
        <v>6006</v>
      </c>
      <c r="D11" s="4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74">
        <f t="shared" si="0"/>
        <v>0</v>
      </c>
    </row>
    <row r="12" spans="1:16">
      <c r="A12" s="21" t="s">
        <v>499</v>
      </c>
      <c r="B12" s="21" t="s">
        <v>348</v>
      </c>
      <c r="C12" s="21">
        <v>6006</v>
      </c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74">
        <f t="shared" si="0"/>
        <v>0</v>
      </c>
    </row>
    <row r="13" spans="1:16">
      <c r="A13" s="21" t="s">
        <v>500</v>
      </c>
      <c r="B13" s="21" t="s">
        <v>348</v>
      </c>
      <c r="C13" s="21">
        <v>6006</v>
      </c>
      <c r="D13" s="4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74">
        <f t="shared" si="0"/>
        <v>0</v>
      </c>
    </row>
    <row r="14" spans="1:16">
      <c r="A14" s="22" t="s">
        <v>508</v>
      </c>
      <c r="B14" s="22" t="s">
        <v>349</v>
      </c>
      <c r="C14" s="22">
        <v>6006</v>
      </c>
      <c r="D14" s="41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74">
        <f t="shared" si="0"/>
        <v>0</v>
      </c>
    </row>
    <row r="15" spans="1:16">
      <c r="A15" s="22" t="s">
        <v>331</v>
      </c>
      <c r="B15" s="22" t="s">
        <v>349</v>
      </c>
      <c r="C15" s="22">
        <v>6006</v>
      </c>
      <c r="D15" s="23">
        <v>200</v>
      </c>
      <c r="E15" s="23">
        <v>200</v>
      </c>
      <c r="F15" s="23">
        <v>200</v>
      </c>
      <c r="G15" s="23">
        <v>200</v>
      </c>
      <c r="H15" s="23">
        <v>200</v>
      </c>
      <c r="I15" s="23">
        <v>200</v>
      </c>
      <c r="J15" s="23">
        <v>200</v>
      </c>
      <c r="K15" s="126"/>
      <c r="L15" s="126"/>
      <c r="M15" s="126"/>
      <c r="N15" s="126"/>
      <c r="O15" s="126"/>
      <c r="P15" s="74">
        <f t="shared" si="0"/>
        <v>1400</v>
      </c>
    </row>
    <row r="16" spans="1:16">
      <c r="C16" s="21">
        <v>6006</v>
      </c>
      <c r="D16" s="24">
        <f t="shared" ref="D16:O16" si="1">SUM(D3:D15)</f>
        <v>400</v>
      </c>
      <c r="E16" s="24">
        <f t="shared" si="1"/>
        <v>400</v>
      </c>
      <c r="F16" s="24">
        <f t="shared" si="1"/>
        <v>400</v>
      </c>
      <c r="G16" s="24">
        <f t="shared" si="1"/>
        <v>400</v>
      </c>
      <c r="H16" s="24">
        <f t="shared" si="1"/>
        <v>400</v>
      </c>
      <c r="I16" s="24">
        <f t="shared" si="1"/>
        <v>400</v>
      </c>
      <c r="J16" s="24">
        <f t="shared" si="1"/>
        <v>400</v>
      </c>
      <c r="K16" s="24">
        <f t="shared" si="1"/>
        <v>200</v>
      </c>
      <c r="L16" s="24">
        <f t="shared" si="1"/>
        <v>200</v>
      </c>
      <c r="M16" s="24">
        <f t="shared" si="1"/>
        <v>200</v>
      </c>
      <c r="N16" s="24">
        <f t="shared" si="1"/>
        <v>200</v>
      </c>
      <c r="O16" s="24">
        <f t="shared" si="1"/>
        <v>200</v>
      </c>
      <c r="P16" s="73">
        <f t="shared" si="0"/>
        <v>3800</v>
      </c>
    </row>
    <row r="17" spans="4: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3800</v>
      </c>
    </row>
    <row r="18" spans="4:15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</sheetData>
  <mergeCells count="13">
    <mergeCell ref="I1:I2"/>
    <mergeCell ref="D1:D2"/>
    <mergeCell ref="E1:E2"/>
    <mergeCell ref="F1:F2"/>
    <mergeCell ref="G1:G2"/>
    <mergeCell ref="H1:H2"/>
    <mergeCell ref="P1:P2"/>
    <mergeCell ref="J1:J2"/>
    <mergeCell ref="K1:K2"/>
    <mergeCell ref="L1:L2"/>
    <mergeCell ref="M1:M2"/>
    <mergeCell ref="N1:N2"/>
    <mergeCell ref="O1:O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BA6F-91BE-4CC5-B81C-03BC165BA04A}">
  <sheetPr>
    <pageSetUpPr fitToPage="1"/>
  </sheetPr>
  <dimension ref="A1:P18"/>
  <sheetViews>
    <sheetView workbookViewId="0">
      <selection activeCell="A11" sqref="A11"/>
    </sheetView>
  </sheetViews>
  <sheetFormatPr baseColWidth="10" defaultRowHeight="15"/>
  <cols>
    <col min="4" max="14" width="11.5703125" bestFit="1" customWidth="1"/>
    <col min="15" max="15" width="13.28515625" customWidth="1"/>
  </cols>
  <sheetData>
    <row r="1" spans="1:16">
      <c r="D1" s="134" t="s">
        <v>332</v>
      </c>
      <c r="E1" s="134" t="s">
        <v>333</v>
      </c>
      <c r="F1" s="134" t="s">
        <v>334</v>
      </c>
      <c r="G1" s="134" t="s">
        <v>335</v>
      </c>
      <c r="H1" s="134" t="s">
        <v>336</v>
      </c>
      <c r="I1" s="134" t="s">
        <v>337</v>
      </c>
      <c r="J1" s="134" t="s">
        <v>338</v>
      </c>
      <c r="K1" s="134" t="s">
        <v>339</v>
      </c>
      <c r="L1" s="134" t="s">
        <v>340</v>
      </c>
      <c r="M1" s="134" t="s">
        <v>341</v>
      </c>
      <c r="N1" s="134" t="s">
        <v>342</v>
      </c>
      <c r="O1" s="134" t="s">
        <v>343</v>
      </c>
      <c r="P1" s="134" t="s">
        <v>359</v>
      </c>
    </row>
    <row r="2" spans="1:16">
      <c r="C2" s="76" t="s">
        <v>362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>
      <c r="A3" s="18" t="s">
        <v>325</v>
      </c>
      <c r="B3" s="18" t="s">
        <v>346</v>
      </c>
      <c r="C3" s="18">
        <v>2431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74">
        <f>SUM(D3:O3)</f>
        <v>0</v>
      </c>
    </row>
    <row r="4" spans="1:16">
      <c r="A4" s="18" t="s">
        <v>326</v>
      </c>
      <c r="B4" s="18" t="s">
        <v>346</v>
      </c>
      <c r="C4" s="18">
        <v>2431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4">
        <f t="shared" ref="P4:P16" si="0">SUM(D4:O4)</f>
        <v>0</v>
      </c>
    </row>
    <row r="5" spans="1:16">
      <c r="A5" s="75" t="s">
        <v>327</v>
      </c>
      <c r="B5" s="75" t="s">
        <v>370</v>
      </c>
      <c r="C5" s="75">
        <v>2431</v>
      </c>
      <c r="D5" s="23">
        <v>608.4</v>
      </c>
      <c r="E5" s="23">
        <v>608.4</v>
      </c>
      <c r="F5" s="23">
        <v>608.4</v>
      </c>
      <c r="G5" s="126"/>
      <c r="H5" s="126"/>
      <c r="I5" s="126"/>
      <c r="J5" s="126"/>
      <c r="K5" s="126"/>
      <c r="L5" s="126"/>
      <c r="M5" s="126"/>
      <c r="N5" s="126"/>
      <c r="O5" s="126"/>
      <c r="P5" s="74">
        <f t="shared" si="0"/>
        <v>1825.1999999999998</v>
      </c>
    </row>
    <row r="6" spans="1:16">
      <c r="A6" s="19" t="s">
        <v>328</v>
      </c>
      <c r="B6" s="19" t="s">
        <v>348</v>
      </c>
      <c r="C6" s="19">
        <v>2431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4">
        <f t="shared" si="0"/>
        <v>0</v>
      </c>
    </row>
    <row r="7" spans="1:16">
      <c r="A7" s="20" t="s">
        <v>329</v>
      </c>
      <c r="B7" s="20" t="s">
        <v>347</v>
      </c>
      <c r="C7" s="20">
        <v>2431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74">
        <f t="shared" si="0"/>
        <v>0</v>
      </c>
    </row>
    <row r="8" spans="1:16">
      <c r="A8" s="21" t="s">
        <v>496</v>
      </c>
      <c r="B8" s="21" t="s">
        <v>348</v>
      </c>
      <c r="C8" s="21">
        <v>2431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74">
        <f t="shared" si="0"/>
        <v>0</v>
      </c>
    </row>
    <row r="9" spans="1:16">
      <c r="A9" s="21" t="s">
        <v>330</v>
      </c>
      <c r="B9" s="21" t="s">
        <v>348</v>
      </c>
      <c r="C9" s="21">
        <v>2431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74">
        <f t="shared" si="0"/>
        <v>0</v>
      </c>
    </row>
    <row r="10" spans="1:16">
      <c r="A10" s="21" t="s">
        <v>504</v>
      </c>
      <c r="B10" s="21" t="s">
        <v>348</v>
      </c>
      <c r="C10" s="21">
        <v>2431</v>
      </c>
      <c r="D10" s="41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74">
        <f t="shared" si="0"/>
        <v>0</v>
      </c>
    </row>
    <row r="11" spans="1:16">
      <c r="A11" s="21" t="s">
        <v>498</v>
      </c>
      <c r="B11" s="21" t="s">
        <v>348</v>
      </c>
      <c r="C11" s="21">
        <v>2431</v>
      </c>
      <c r="D11" s="4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74">
        <f t="shared" si="0"/>
        <v>0</v>
      </c>
    </row>
    <row r="12" spans="1:16">
      <c r="A12" s="21" t="s">
        <v>499</v>
      </c>
      <c r="B12" s="21" t="s">
        <v>348</v>
      </c>
      <c r="C12" s="21">
        <v>2431</v>
      </c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74">
        <f t="shared" si="0"/>
        <v>0</v>
      </c>
    </row>
    <row r="13" spans="1:16">
      <c r="A13" s="21" t="s">
        <v>500</v>
      </c>
      <c r="B13" s="21" t="s">
        <v>348</v>
      </c>
      <c r="C13" s="21">
        <v>2431</v>
      </c>
      <c r="D13" s="4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74">
        <f t="shared" si="0"/>
        <v>0</v>
      </c>
    </row>
    <row r="14" spans="1:16">
      <c r="A14" s="22" t="s">
        <v>508</v>
      </c>
      <c r="B14" s="22" t="s">
        <v>349</v>
      </c>
      <c r="C14" s="22">
        <v>2431</v>
      </c>
      <c r="D14" s="41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74">
        <f t="shared" si="0"/>
        <v>0</v>
      </c>
    </row>
    <row r="15" spans="1:16">
      <c r="A15" s="22" t="s">
        <v>331</v>
      </c>
      <c r="B15" s="22" t="s">
        <v>349</v>
      </c>
      <c r="C15" s="22">
        <v>2431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74">
        <f t="shared" si="0"/>
        <v>0</v>
      </c>
    </row>
    <row r="16" spans="1:16">
      <c r="C16" s="21">
        <v>2431</v>
      </c>
      <c r="D16" s="24">
        <f t="shared" ref="D16:M16" si="1">SUM(D3:D15)</f>
        <v>608.4</v>
      </c>
      <c r="E16" s="24">
        <f t="shared" si="1"/>
        <v>608.4</v>
      </c>
      <c r="F16" s="24">
        <f t="shared" si="1"/>
        <v>608.4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>SUM(N3:N15)</f>
        <v>0</v>
      </c>
      <c r="O16" s="24">
        <f>SUM(O3:O15)</f>
        <v>0</v>
      </c>
      <c r="P16" s="73">
        <f t="shared" si="0"/>
        <v>1825.1999999999998</v>
      </c>
    </row>
    <row r="17" spans="4: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2">
        <f>SUM(D16:O16)</f>
        <v>1825.1999999999998</v>
      </c>
    </row>
    <row r="18" spans="4:15" ht="21"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</sheetData>
  <mergeCells count="13">
    <mergeCell ref="I1:I2"/>
    <mergeCell ref="D1:D2"/>
    <mergeCell ref="E1:E2"/>
    <mergeCell ref="F1:F2"/>
    <mergeCell ref="G1:G2"/>
    <mergeCell ref="H1:H2"/>
    <mergeCell ref="P1:P2"/>
    <mergeCell ref="J1:J2"/>
    <mergeCell ref="K1:K2"/>
    <mergeCell ref="L1:L2"/>
    <mergeCell ref="M1:M2"/>
    <mergeCell ref="N1:N2"/>
    <mergeCell ref="O1:O2"/>
  </mergeCells>
  <phoneticPr fontId="23" type="noConversion"/>
  <pageMargins left="0.7" right="0.7" top="0.75" bottom="0.75" header="0.3" footer="0.3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AB13-6DA8-462F-A6F6-083455811D48}">
  <dimension ref="A2:J16"/>
  <sheetViews>
    <sheetView workbookViewId="0">
      <selection activeCell="B13" sqref="A13:B13"/>
    </sheetView>
  </sheetViews>
  <sheetFormatPr baseColWidth="10" defaultRowHeight="15"/>
  <cols>
    <col min="2" max="2" width="12" customWidth="1"/>
    <col min="3" max="3" width="7.42578125" customWidth="1"/>
    <col min="4" max="4" width="62.140625" bestFit="1" customWidth="1"/>
    <col min="5" max="5" width="7.42578125" customWidth="1"/>
    <col min="6" max="6" width="62.5703125" bestFit="1" customWidth="1"/>
    <col min="7" max="7" width="7.42578125" customWidth="1"/>
    <col min="8" max="8" width="70.7109375" bestFit="1" customWidth="1"/>
    <col min="9" max="9" width="7.42578125" customWidth="1"/>
    <col min="10" max="10" width="68.7109375" bestFit="1" customWidth="1"/>
  </cols>
  <sheetData>
    <row r="2" spans="1:10" ht="15.75" thickBot="1">
      <c r="A2" s="16"/>
      <c r="B2" s="16"/>
      <c r="C2" s="37" t="s">
        <v>345</v>
      </c>
      <c r="D2" s="38"/>
      <c r="E2" s="37" t="s">
        <v>350</v>
      </c>
      <c r="F2" s="38"/>
      <c r="G2" s="37" t="s">
        <v>352</v>
      </c>
      <c r="H2" s="38"/>
      <c r="I2" s="37" t="s">
        <v>362</v>
      </c>
      <c r="J2" s="38"/>
    </row>
    <row r="3" spans="1:10" ht="15.75" thickBot="1">
      <c r="A3" s="27" t="s">
        <v>325</v>
      </c>
      <c r="B3" s="27" t="s">
        <v>346</v>
      </c>
      <c r="C3" s="32">
        <v>5009</v>
      </c>
      <c r="D3" s="33" t="str">
        <f>VLOOKUP(C3,'Tables comptes'!$A:$B,2,FALSE)</f>
        <v>Salaires, personnel dirigeant du fournisseur</v>
      </c>
      <c r="E3" s="32">
        <v>5010</v>
      </c>
      <c r="F3" s="33" t="str">
        <f>VLOOKUP(E3,'Tables comptes'!$A:$B,2,FALSE)</f>
        <v>Prime personnel dirigeant du fournisseur</v>
      </c>
      <c r="G3" s="32">
        <v>5702</v>
      </c>
      <c r="H3" s="33" t="str">
        <f>VLOOKUP(G3,'Tables comptes'!$A:$B,2,FALSE)</f>
        <v>AVS, AI, APG, AC - Personnel dirigeant du fournisseur</v>
      </c>
      <c r="I3" s="32">
        <v>5722</v>
      </c>
      <c r="J3" s="33" t="str">
        <f>VLOOKUP(I3,'Tables comptes'!$A:$B,2,FALSE)</f>
        <v>Cotisations LPP- Personnel dirigeant du fournisseur</v>
      </c>
    </row>
    <row r="4" spans="1:10" ht="15.75" thickBot="1">
      <c r="A4" s="28" t="s">
        <v>326</v>
      </c>
      <c r="B4" s="28" t="s">
        <v>346</v>
      </c>
      <c r="C4" s="32">
        <v>5009</v>
      </c>
      <c r="D4" s="33" t="str">
        <f>VLOOKUP(C4,'Tables comptes'!$A:$B,2,FALSE)</f>
        <v>Salaires, personnel dirigeant du fournisseur</v>
      </c>
      <c r="E4" s="32">
        <v>5010</v>
      </c>
      <c r="F4" s="33" t="str">
        <f>VLOOKUP(E4,'Tables comptes'!$A:$B,2,FALSE)</f>
        <v>Prime personnel dirigeant du fournisseur</v>
      </c>
      <c r="G4" s="32">
        <v>5702</v>
      </c>
      <c r="H4" s="33" t="str">
        <f>VLOOKUP(G4,'Tables comptes'!$A:$B,2,FALSE)</f>
        <v>AVS, AI, APG, AC - Personnel dirigeant du fournisseur</v>
      </c>
      <c r="I4" s="32">
        <v>5722</v>
      </c>
      <c r="J4" s="33" t="str">
        <f>VLOOKUP(I4,'Tables comptes'!$A:$B,2,FALSE)</f>
        <v>Cotisations LPP- Personnel dirigeant du fournisseur</v>
      </c>
    </row>
    <row r="5" spans="1:10" ht="15.75" thickBot="1">
      <c r="A5" s="28" t="s">
        <v>327</v>
      </c>
      <c r="B5" s="28" t="s">
        <v>346</v>
      </c>
      <c r="C5" s="32">
        <v>5009</v>
      </c>
      <c r="D5" s="33" t="str">
        <f>VLOOKUP(C5,'Tables comptes'!$A:$B,2,FALSE)</f>
        <v>Salaires, personnel dirigeant du fournisseur</v>
      </c>
      <c r="E5" s="32">
        <v>5010</v>
      </c>
      <c r="F5" s="33" t="str">
        <f>VLOOKUP(E5,'Tables comptes'!$A:$B,2,FALSE)</f>
        <v>Prime personnel dirigeant du fournisseur</v>
      </c>
      <c r="G5" s="32">
        <v>5702</v>
      </c>
      <c r="H5" s="33" t="str">
        <f>VLOOKUP(G5,'Tables comptes'!$A:$B,2,FALSE)</f>
        <v>AVS, AI, APG, AC - Personnel dirigeant du fournisseur</v>
      </c>
      <c r="I5" s="32">
        <v>5722</v>
      </c>
      <c r="J5" s="33" t="str">
        <f>VLOOKUP(I5,'Tables comptes'!$A:$B,2,FALSE)</f>
        <v>Cotisations LPP- Personnel dirigeant du fournisseur</v>
      </c>
    </row>
    <row r="6" spans="1:10" ht="15.75" thickBot="1">
      <c r="A6" s="29" t="s">
        <v>328</v>
      </c>
      <c r="B6" s="29" t="s">
        <v>348</v>
      </c>
      <c r="C6" s="32">
        <v>5000</v>
      </c>
      <c r="D6" s="33" t="str">
        <f>VLOOKUP(C6,'Tables comptes'!$A:$B,2,FALSE)</f>
        <v>Salaires, personnel du fournisseur exécutant les mandats technique</v>
      </c>
      <c r="E6" s="32">
        <v>5004</v>
      </c>
      <c r="F6" s="33" t="str">
        <f>VLOOKUP(E6,'Tables comptes'!$A:$B,2,FALSE)</f>
        <v>Primes- Personnel du fournisseur exécutant les mandats techniques</v>
      </c>
      <c r="G6" s="32">
        <v>5700</v>
      </c>
      <c r="H6" s="33" t="str">
        <f>VLOOKUP(G6,'Tables comptes'!$A:$B,2,FALSE)</f>
        <v>AVS, AI, APG, AC - Personnel du fournisseur exécutant les mandats technique</v>
      </c>
      <c r="I6" s="32">
        <v>5720</v>
      </c>
      <c r="J6" s="33" t="str">
        <f>VLOOKUP(I6,'Tables comptes'!$A:$B,2,FALSE)</f>
        <v>Cotisation LPP - Personnel du fournisseur exécutant les mandats technique</v>
      </c>
    </row>
    <row r="7" spans="1:10" ht="15.75" thickBot="1">
      <c r="A7" s="30" t="s">
        <v>329</v>
      </c>
      <c r="B7" s="30" t="s">
        <v>347</v>
      </c>
      <c r="C7" s="32">
        <v>5007</v>
      </c>
      <c r="D7" s="33" t="str">
        <f>VLOOKUP(C7,'Tables comptes'!$A:$B,2,FALSE)</f>
        <v>Salaires, office manager du fournisseur</v>
      </c>
      <c r="E7" s="32">
        <v>5006</v>
      </c>
      <c r="F7" s="33" t="str">
        <f>VLOOKUP(E7,'Tables comptes'!$A:$B,2,FALSE)</f>
        <v>Primes - Office manager du fournisseur</v>
      </c>
      <c r="G7" s="32">
        <v>5701</v>
      </c>
      <c r="H7" s="33" t="str">
        <f>VLOOKUP(G7,'Tables comptes'!$A:$B,2,FALSE)</f>
        <v>AVS, AI, APG, AC - Office manager du fournisseur</v>
      </c>
      <c r="I7" s="32">
        <v>5721</v>
      </c>
      <c r="J7" s="33" t="str">
        <f>VLOOKUP(I7,'Tables comptes'!$A:$B,2,FALSE)</f>
        <v>Cotisations LPP - Office manager du fournisseur</v>
      </c>
    </row>
    <row r="8" spans="1:10" ht="15.75" thickBot="1">
      <c r="A8" s="29" t="s">
        <v>496</v>
      </c>
      <c r="B8" s="29" t="s">
        <v>348</v>
      </c>
      <c r="C8" s="34">
        <v>5000</v>
      </c>
      <c r="D8" s="33" t="str">
        <f>VLOOKUP(C8,'Tables comptes'!$A:$B,2,FALSE)</f>
        <v>Salaires, personnel du fournisseur exécutant les mandats technique</v>
      </c>
      <c r="E8" s="32">
        <v>5004</v>
      </c>
      <c r="F8" s="33" t="str">
        <f>VLOOKUP(E8,'Tables comptes'!$A:$B,2,FALSE)</f>
        <v>Primes- Personnel du fournisseur exécutant les mandats techniques</v>
      </c>
      <c r="G8" s="32">
        <v>5700</v>
      </c>
      <c r="H8" s="33" t="str">
        <f>VLOOKUP(G8,'Tables comptes'!$A:$B,2,FALSE)</f>
        <v>AVS, AI, APG, AC - Personnel du fournisseur exécutant les mandats technique</v>
      </c>
      <c r="I8" s="32">
        <v>5720</v>
      </c>
      <c r="J8" s="33" t="str">
        <f>VLOOKUP(I8,'Tables comptes'!$A:$B,2,FALSE)</f>
        <v>Cotisation LPP - Personnel du fournisseur exécutant les mandats technique</v>
      </c>
    </row>
    <row r="9" spans="1:10" ht="15.75" thickBot="1">
      <c r="A9" s="29" t="s">
        <v>330</v>
      </c>
      <c r="B9" s="29" t="s">
        <v>348</v>
      </c>
      <c r="C9" s="34">
        <v>5000</v>
      </c>
      <c r="D9" s="33" t="str">
        <f>VLOOKUP(C9,'Tables comptes'!$A:$B,2,FALSE)</f>
        <v>Salaires, personnel du fournisseur exécutant les mandats technique</v>
      </c>
      <c r="E9" s="32">
        <v>5004</v>
      </c>
      <c r="F9" s="33" t="str">
        <f>VLOOKUP(E9,'Tables comptes'!$A:$B,2,FALSE)</f>
        <v>Primes- Personnel du fournisseur exécutant les mandats techniques</v>
      </c>
      <c r="G9" s="32">
        <v>5700</v>
      </c>
      <c r="H9" s="33" t="str">
        <f>VLOOKUP(G9,'Tables comptes'!$A:$B,2,FALSE)</f>
        <v>AVS, AI, APG, AC - Personnel du fournisseur exécutant les mandats technique</v>
      </c>
      <c r="I9" s="32">
        <v>5720</v>
      </c>
      <c r="J9" s="33" t="str">
        <f>VLOOKUP(I9,'Tables comptes'!$A:$B,2,FALSE)</f>
        <v>Cotisation LPP - Personnel du fournisseur exécutant les mandats technique</v>
      </c>
    </row>
    <row r="10" spans="1:10" ht="15.75" thickBot="1">
      <c r="A10" s="123" t="s">
        <v>504</v>
      </c>
      <c r="B10" s="123" t="s">
        <v>348</v>
      </c>
      <c r="C10" s="32">
        <v>5000</v>
      </c>
      <c r="D10" s="33" t="str">
        <f>VLOOKUP(C10,'Tables comptes'!$A:$B,2,FALSE)</f>
        <v>Salaires, personnel du fournisseur exécutant les mandats technique</v>
      </c>
      <c r="E10" s="32">
        <v>5004</v>
      </c>
      <c r="F10" s="33" t="str">
        <f>VLOOKUP(E10,'Tables comptes'!$A:$B,2,FALSE)</f>
        <v>Primes- Personnel du fournisseur exécutant les mandats techniques</v>
      </c>
      <c r="G10" s="32">
        <v>5700</v>
      </c>
      <c r="H10" s="33" t="str">
        <f>VLOOKUP(G10,'Tables comptes'!$A:$B,2,FALSE)</f>
        <v>AVS, AI, APG, AC - Personnel du fournisseur exécutant les mandats technique</v>
      </c>
      <c r="I10" s="32">
        <v>5720</v>
      </c>
      <c r="J10" s="33" t="str">
        <f>VLOOKUP(I10,'Tables comptes'!$A:$B,2,FALSE)</f>
        <v>Cotisation LPP - Personnel du fournisseur exécutant les mandats technique</v>
      </c>
    </row>
    <row r="11" spans="1:10" ht="15.75" thickBot="1">
      <c r="A11" s="123" t="s">
        <v>506</v>
      </c>
      <c r="B11" s="123" t="s">
        <v>348</v>
      </c>
      <c r="C11" s="32">
        <v>5000</v>
      </c>
      <c r="D11" s="33" t="str">
        <f>VLOOKUP(C11,'Tables comptes'!$A:$B,2,FALSE)</f>
        <v>Salaires, personnel du fournisseur exécutant les mandats technique</v>
      </c>
      <c r="E11" s="32">
        <v>5004</v>
      </c>
      <c r="F11" s="33" t="str">
        <f>VLOOKUP(E11,'Tables comptes'!$A:$B,2,FALSE)</f>
        <v>Primes- Personnel du fournisseur exécutant les mandats techniques</v>
      </c>
      <c r="G11" s="32">
        <v>5700</v>
      </c>
      <c r="H11" s="33" t="str">
        <f>VLOOKUP(G11,'Tables comptes'!$A:$B,2,FALSE)</f>
        <v>AVS, AI, APG, AC - Personnel du fournisseur exécutant les mandats technique</v>
      </c>
      <c r="I11" s="32">
        <v>5720</v>
      </c>
      <c r="J11" s="33" t="str">
        <f>VLOOKUP(I11,'Tables comptes'!$A:$B,2,FALSE)</f>
        <v>Cotisation LPP - Personnel du fournisseur exécutant les mandats technique</v>
      </c>
    </row>
    <row r="12" spans="1:10" ht="15.75" thickBot="1">
      <c r="A12" s="123" t="s">
        <v>509</v>
      </c>
      <c r="B12" s="123" t="s">
        <v>348</v>
      </c>
      <c r="C12" s="34">
        <v>5000</v>
      </c>
      <c r="D12" s="33" t="str">
        <f>VLOOKUP(C12,'Tables comptes'!$A:$B,2,FALSE)</f>
        <v>Salaires, personnel du fournisseur exécutant les mandats technique</v>
      </c>
      <c r="E12" s="32">
        <v>5004</v>
      </c>
      <c r="F12" s="33" t="str">
        <f>VLOOKUP(E12,'Tables comptes'!$A:$B,2,FALSE)</f>
        <v>Primes- Personnel du fournisseur exécutant les mandats techniques</v>
      </c>
      <c r="G12" s="32">
        <v>5700</v>
      </c>
      <c r="H12" s="33" t="str">
        <f>VLOOKUP(G12,'Tables comptes'!$A:$B,2,FALSE)</f>
        <v>AVS, AI, APG, AC - Personnel du fournisseur exécutant les mandats technique</v>
      </c>
      <c r="I12" s="32">
        <v>5720</v>
      </c>
      <c r="J12" s="33" t="str">
        <f>VLOOKUP(I12,'Tables comptes'!$A:$B,2,FALSE)</f>
        <v>Cotisation LPP - Personnel du fournisseur exécutant les mandats technique</v>
      </c>
    </row>
    <row r="13" spans="1:10" ht="15.75" thickBot="1">
      <c r="A13" s="123" t="s">
        <v>511</v>
      </c>
      <c r="B13" s="123" t="s">
        <v>348</v>
      </c>
      <c r="C13" s="34">
        <v>5000</v>
      </c>
      <c r="D13" s="33" t="str">
        <f>VLOOKUP(C13,'Tables comptes'!$A:$B,2,FALSE)</f>
        <v>Salaires, personnel du fournisseur exécutant les mandats technique</v>
      </c>
      <c r="E13" s="32">
        <v>5004</v>
      </c>
      <c r="F13" s="33" t="str">
        <f>VLOOKUP(E13,'Tables comptes'!$A:$B,2,FALSE)</f>
        <v>Primes- Personnel du fournisseur exécutant les mandats techniques</v>
      </c>
      <c r="G13" s="32">
        <v>5700</v>
      </c>
      <c r="H13" s="33" t="str">
        <f>VLOOKUP(G13,'Tables comptes'!$A:$B,2,FALSE)</f>
        <v>AVS, AI, APG, AC - Personnel du fournisseur exécutant les mandats technique</v>
      </c>
      <c r="I13" s="32">
        <v>5720</v>
      </c>
      <c r="J13" s="33" t="str">
        <f>VLOOKUP(I13,'Tables comptes'!$A:$B,2,FALSE)</f>
        <v>Cotisation LPP - Personnel du fournisseur exécutant les mandats technique</v>
      </c>
    </row>
    <row r="14" spans="1:10" ht="15.75" thickBot="1">
      <c r="A14" s="31" t="s">
        <v>508</v>
      </c>
      <c r="B14" s="31" t="s">
        <v>349</v>
      </c>
      <c r="C14" s="35">
        <v>5020</v>
      </c>
      <c r="D14" s="36" t="str">
        <f>VLOOKUP(C14,'Tables comptes'!$A:$B,2,FALSE)</f>
        <v>Salaires, personnel informatique</v>
      </c>
      <c r="E14" s="35">
        <v>5021</v>
      </c>
      <c r="F14" s="36" t="str">
        <f>VLOOKUP(E14,'Tables comptes'!$A:$B,2,FALSE)</f>
        <v>Prime personnel informatique</v>
      </c>
      <c r="G14" s="35">
        <v>5703</v>
      </c>
      <c r="H14" s="36" t="str">
        <f>VLOOKUP(G14,'Tables comptes'!$A:$B,2,FALSE)</f>
        <v>AVS, AI, APG, AC - personnel informatique</v>
      </c>
      <c r="I14" s="35">
        <v>5704</v>
      </c>
      <c r="J14" s="36" t="str">
        <f>VLOOKUP(I14,'Tables comptes'!$A:$B,2,FALSE)</f>
        <v>Cotisations LPP- Personnel informatique</v>
      </c>
    </row>
    <row r="15" spans="1:10" ht="15.75" thickBot="1">
      <c r="A15" s="31" t="s">
        <v>331</v>
      </c>
      <c r="B15" s="31" t="s">
        <v>349</v>
      </c>
      <c r="C15" s="35">
        <v>5020</v>
      </c>
      <c r="D15" s="36" t="str">
        <f>VLOOKUP(C15,'Tables comptes'!$A:$B,2,FALSE)</f>
        <v>Salaires, personnel informatique</v>
      </c>
      <c r="E15" s="35">
        <v>5021</v>
      </c>
      <c r="F15" s="36" t="str">
        <f>VLOOKUP(E15,'Tables comptes'!$A:$B,2,FALSE)</f>
        <v>Prime personnel informatique</v>
      </c>
      <c r="G15" s="35">
        <v>5703</v>
      </c>
      <c r="H15" s="36" t="str">
        <f>VLOOKUP(G15,'Tables comptes'!$A:$B,2,FALSE)</f>
        <v>AVS, AI, APG, AC - personnel informatique</v>
      </c>
      <c r="I15" s="35">
        <v>5704</v>
      </c>
      <c r="J15" s="36" t="str">
        <f>VLOOKUP(I15,'Tables comptes'!$A:$B,2,FALSE)</f>
        <v>Cotisations LPP- Personnel informatique</v>
      </c>
    </row>
    <row r="16" spans="1:10">
      <c r="A16" s="17"/>
      <c r="B16" s="17"/>
    </row>
  </sheetData>
  <phoneticPr fontId="2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C919-3654-4C54-AE37-0E47A15CFFD9}">
  <dimension ref="A1:B366"/>
  <sheetViews>
    <sheetView topLeftCell="A203" workbookViewId="0">
      <selection activeCell="B189" sqref="B189"/>
    </sheetView>
  </sheetViews>
  <sheetFormatPr baseColWidth="10" defaultRowHeight="15"/>
  <cols>
    <col min="1" max="1" width="11.42578125" style="14"/>
    <col min="2" max="2" width="75.85546875" style="14" bestFit="1" customWidth="1"/>
    <col min="3" max="16384" width="11.42578125" style="14"/>
  </cols>
  <sheetData>
    <row r="1" spans="1:2">
      <c r="A1" s="15" t="s">
        <v>6</v>
      </c>
      <c r="B1" s="15" t="s">
        <v>7</v>
      </c>
    </row>
    <row r="2" spans="1:2">
      <c r="A2" s="15">
        <v>1</v>
      </c>
      <c r="B2" s="15" t="s">
        <v>8</v>
      </c>
    </row>
    <row r="3" spans="1:2">
      <c r="A3" s="15">
        <v>2</v>
      </c>
      <c r="B3" s="15" t="s">
        <v>60</v>
      </c>
    </row>
    <row r="4" spans="1:2">
      <c r="A4" s="14">
        <v>3</v>
      </c>
      <c r="B4" s="14" t="s">
        <v>100</v>
      </c>
    </row>
    <row r="5" spans="1:2">
      <c r="A5" s="15">
        <v>4</v>
      </c>
      <c r="B5" s="15" t="s">
        <v>126</v>
      </c>
    </row>
    <row r="6" spans="1:2">
      <c r="A6" s="15">
        <v>5</v>
      </c>
      <c r="B6" s="15" t="s">
        <v>149</v>
      </c>
    </row>
    <row r="7" spans="1:2">
      <c r="A7" s="15">
        <v>6</v>
      </c>
      <c r="B7" s="15" t="s">
        <v>214</v>
      </c>
    </row>
    <row r="8" spans="1:2">
      <c r="A8" s="14">
        <v>7</v>
      </c>
      <c r="B8" s="14" t="s">
        <v>294</v>
      </c>
    </row>
    <row r="9" spans="1:2">
      <c r="A9" s="14">
        <v>8</v>
      </c>
      <c r="B9" s="14" t="s">
        <v>298</v>
      </c>
    </row>
    <row r="10" spans="1:2">
      <c r="A10" s="14">
        <v>9</v>
      </c>
      <c r="B10" s="14" t="s">
        <v>317</v>
      </c>
    </row>
    <row r="11" spans="1:2">
      <c r="A11" s="14">
        <v>10</v>
      </c>
      <c r="B11" s="14" t="s">
        <v>9</v>
      </c>
    </row>
    <row r="12" spans="1:2">
      <c r="A12" s="14">
        <v>14</v>
      </c>
      <c r="B12" s="14" t="s">
        <v>45</v>
      </c>
    </row>
    <row r="13" spans="1:2">
      <c r="A13" s="15">
        <v>20</v>
      </c>
      <c r="B13" s="15" t="s">
        <v>61</v>
      </c>
    </row>
    <row r="14" spans="1:2">
      <c r="A14" s="14">
        <v>24</v>
      </c>
      <c r="B14" s="14" t="s">
        <v>82</v>
      </c>
    </row>
    <row r="15" spans="1:2">
      <c r="A15" s="14">
        <v>28</v>
      </c>
      <c r="B15" s="14" t="s">
        <v>92</v>
      </c>
    </row>
    <row r="16" spans="1:2">
      <c r="A16" s="14">
        <v>32</v>
      </c>
      <c r="B16" s="14" t="s">
        <v>101</v>
      </c>
    </row>
    <row r="17" spans="1:2">
      <c r="A17" s="14">
        <v>34</v>
      </c>
      <c r="B17" s="14" t="s">
        <v>107</v>
      </c>
    </row>
    <row r="18" spans="1:2">
      <c r="A18" s="15">
        <v>36</v>
      </c>
      <c r="B18" s="15" t="s">
        <v>112</v>
      </c>
    </row>
    <row r="19" spans="1:2">
      <c r="A19" s="15">
        <v>38</v>
      </c>
      <c r="B19" s="15" t="s">
        <v>117</v>
      </c>
    </row>
    <row r="20" spans="1:2">
      <c r="A20" s="15">
        <v>39</v>
      </c>
      <c r="B20" s="15" t="s">
        <v>401</v>
      </c>
    </row>
    <row r="21" spans="1:2">
      <c r="A21" s="15">
        <v>42</v>
      </c>
      <c r="B21" s="15" t="s">
        <v>127</v>
      </c>
    </row>
    <row r="22" spans="1:2">
      <c r="A22" s="15">
        <v>44</v>
      </c>
      <c r="B22" s="15" t="s">
        <v>132</v>
      </c>
    </row>
    <row r="23" spans="1:2">
      <c r="A23" s="15">
        <v>46</v>
      </c>
      <c r="B23" s="15" t="s">
        <v>140</v>
      </c>
    </row>
    <row r="24" spans="1:2">
      <c r="A24" s="15">
        <v>47</v>
      </c>
      <c r="B24" s="15" t="s">
        <v>136</v>
      </c>
    </row>
    <row r="25" spans="1:2">
      <c r="A25" s="15">
        <v>48</v>
      </c>
      <c r="B25" s="15" t="s">
        <v>145</v>
      </c>
    </row>
    <row r="26" spans="1:2">
      <c r="A26" s="15">
        <v>49</v>
      </c>
      <c r="B26" s="15" t="s">
        <v>137</v>
      </c>
    </row>
    <row r="27" spans="1:2">
      <c r="A27" s="15">
        <v>50</v>
      </c>
      <c r="B27" s="15" t="s">
        <v>149</v>
      </c>
    </row>
    <row r="28" spans="1:2">
      <c r="A28" s="15">
        <v>53</v>
      </c>
      <c r="B28" s="15" t="s">
        <v>173</v>
      </c>
    </row>
    <row r="29" spans="1:2">
      <c r="A29" s="15">
        <v>54</v>
      </c>
      <c r="B29" s="15" t="s">
        <v>175</v>
      </c>
    </row>
    <row r="30" spans="1:2">
      <c r="A30" s="14">
        <v>55</v>
      </c>
      <c r="B30" s="14" t="s">
        <v>391</v>
      </c>
    </row>
    <row r="31" spans="1:2">
      <c r="A31" s="15">
        <v>56</v>
      </c>
      <c r="B31" s="15" t="s">
        <v>181</v>
      </c>
    </row>
    <row r="32" spans="1:2">
      <c r="A32" s="15">
        <v>57</v>
      </c>
      <c r="B32" s="15" t="s">
        <v>187</v>
      </c>
    </row>
    <row r="33" spans="1:2">
      <c r="A33" s="15">
        <v>58</v>
      </c>
      <c r="B33" s="15" t="s">
        <v>157</v>
      </c>
    </row>
    <row r="34" spans="1:2">
      <c r="A34" s="15">
        <v>59</v>
      </c>
      <c r="B34" s="15" t="s">
        <v>209</v>
      </c>
    </row>
    <row r="35" spans="1:2">
      <c r="A35" s="15">
        <v>60</v>
      </c>
      <c r="B35" s="15" t="s">
        <v>215</v>
      </c>
    </row>
    <row r="36" spans="1:2">
      <c r="A36" s="14">
        <v>61</v>
      </c>
      <c r="B36" s="14" t="s">
        <v>228</v>
      </c>
    </row>
    <row r="37" spans="1:2">
      <c r="A37" s="14">
        <v>62</v>
      </c>
      <c r="B37" s="14" t="s">
        <v>232</v>
      </c>
    </row>
    <row r="38" spans="1:2">
      <c r="A38" s="14">
        <v>63</v>
      </c>
      <c r="B38" s="14" t="s">
        <v>243</v>
      </c>
    </row>
    <row r="39" spans="1:2">
      <c r="A39" s="14">
        <v>64</v>
      </c>
      <c r="B39" s="14" t="s">
        <v>245</v>
      </c>
    </row>
    <row r="40" spans="1:2">
      <c r="A40" s="14">
        <v>65</v>
      </c>
      <c r="B40" s="14" t="s">
        <v>250</v>
      </c>
    </row>
    <row r="41" spans="1:2">
      <c r="A41" s="14">
        <v>66</v>
      </c>
      <c r="B41" s="14" t="s">
        <v>262</v>
      </c>
    </row>
    <row r="42" spans="1:2">
      <c r="A42" s="14">
        <v>67</v>
      </c>
      <c r="B42" s="14" t="s">
        <v>274</v>
      </c>
    </row>
    <row r="43" spans="1:2">
      <c r="A43" s="14">
        <v>68</v>
      </c>
      <c r="B43" s="14" t="s">
        <v>276</v>
      </c>
    </row>
    <row r="44" spans="1:2">
      <c r="A44" s="14">
        <v>69</v>
      </c>
      <c r="B44" s="14" t="s">
        <v>283</v>
      </c>
    </row>
    <row r="45" spans="1:2">
      <c r="A45" s="14">
        <v>70</v>
      </c>
      <c r="B45" s="14" t="s">
        <v>295</v>
      </c>
    </row>
    <row r="46" spans="1:2">
      <c r="A46" s="14">
        <v>80</v>
      </c>
      <c r="B46" s="14" t="s">
        <v>299</v>
      </c>
    </row>
    <row r="47" spans="1:2">
      <c r="A47" s="14">
        <v>85</v>
      </c>
      <c r="B47" s="14" t="s">
        <v>302</v>
      </c>
    </row>
    <row r="48" spans="1:2">
      <c r="A48" s="14">
        <v>89</v>
      </c>
      <c r="B48" s="14" t="s">
        <v>313</v>
      </c>
    </row>
    <row r="49" spans="1:2">
      <c r="A49" s="14">
        <v>92</v>
      </c>
      <c r="B49" s="14" t="s">
        <v>322</v>
      </c>
    </row>
    <row r="50" spans="1:2">
      <c r="A50" s="14">
        <v>99</v>
      </c>
      <c r="B50" s="14" t="s">
        <v>323</v>
      </c>
    </row>
    <row r="51" spans="1:2">
      <c r="A51" s="15">
        <v>100</v>
      </c>
      <c r="B51" s="15" t="s">
        <v>10</v>
      </c>
    </row>
    <row r="52" spans="1:2">
      <c r="A52" s="15">
        <v>106</v>
      </c>
      <c r="B52" s="15" t="s">
        <v>387</v>
      </c>
    </row>
    <row r="53" spans="1:2">
      <c r="A53" s="15">
        <v>109</v>
      </c>
      <c r="B53" s="15" t="s">
        <v>16</v>
      </c>
    </row>
    <row r="54" spans="1:2">
      <c r="A54" s="15">
        <v>110</v>
      </c>
      <c r="B54" s="15" t="s">
        <v>22</v>
      </c>
    </row>
    <row r="55" spans="1:2">
      <c r="A55" s="15">
        <v>114</v>
      </c>
      <c r="B55" s="15" t="s">
        <v>25</v>
      </c>
    </row>
    <row r="56" spans="1:2">
      <c r="A56" s="14">
        <v>120</v>
      </c>
      <c r="B56" s="14" t="s">
        <v>37</v>
      </c>
    </row>
    <row r="57" spans="1:2">
      <c r="A57" s="14">
        <v>130</v>
      </c>
      <c r="B57" s="14" t="s">
        <v>42</v>
      </c>
    </row>
    <row r="58" spans="1:2">
      <c r="A58" s="14">
        <v>150</v>
      </c>
      <c r="B58" s="14" t="s">
        <v>48</v>
      </c>
    </row>
    <row r="59" spans="1:2">
      <c r="A59" s="15">
        <v>180</v>
      </c>
      <c r="B59" s="15" t="s">
        <v>58</v>
      </c>
    </row>
    <row r="60" spans="1:2">
      <c r="A60" s="15">
        <v>200</v>
      </c>
      <c r="B60" s="15" t="s">
        <v>62</v>
      </c>
    </row>
    <row r="61" spans="1:2">
      <c r="A61" s="15">
        <v>210</v>
      </c>
      <c r="B61" s="15" t="s">
        <v>65</v>
      </c>
    </row>
    <row r="62" spans="1:2">
      <c r="A62" s="14">
        <v>220</v>
      </c>
      <c r="B62" s="14" t="s">
        <v>69</v>
      </c>
    </row>
    <row r="63" spans="1:2">
      <c r="A63" s="15">
        <v>230</v>
      </c>
      <c r="B63" s="15" t="s">
        <v>78</v>
      </c>
    </row>
    <row r="64" spans="1:2">
      <c r="A64" s="14">
        <v>240</v>
      </c>
      <c r="B64" s="14" t="s">
        <v>83</v>
      </c>
    </row>
    <row r="65" spans="1:2">
      <c r="A65" s="14">
        <v>250</v>
      </c>
      <c r="B65" s="14" t="s">
        <v>88</v>
      </c>
    </row>
    <row r="66" spans="1:2">
      <c r="A66" s="14">
        <v>260</v>
      </c>
      <c r="B66" s="14" t="s">
        <v>90</v>
      </c>
    </row>
    <row r="67" spans="1:2">
      <c r="A67" s="14">
        <v>280</v>
      </c>
      <c r="B67" s="14" t="s">
        <v>93</v>
      </c>
    </row>
    <row r="68" spans="1:2">
      <c r="A68" s="14">
        <v>290</v>
      </c>
      <c r="B68" s="14" t="s">
        <v>95</v>
      </c>
    </row>
    <row r="69" spans="1:2">
      <c r="A69" s="14">
        <v>320</v>
      </c>
      <c r="B69" s="14" t="s">
        <v>101</v>
      </c>
    </row>
    <row r="70" spans="1:2">
      <c r="A70" s="14">
        <v>340</v>
      </c>
      <c r="B70" s="14" t="s">
        <v>107</v>
      </c>
    </row>
    <row r="71" spans="1:2">
      <c r="A71" s="15">
        <v>360</v>
      </c>
      <c r="B71" s="15" t="s">
        <v>113</v>
      </c>
    </row>
    <row r="72" spans="1:2">
      <c r="A72" s="15">
        <v>368</v>
      </c>
      <c r="B72" s="15" t="s">
        <v>116</v>
      </c>
    </row>
    <row r="73" spans="1:2">
      <c r="A73" s="15">
        <v>420</v>
      </c>
      <c r="B73" s="15" t="s">
        <v>127</v>
      </c>
    </row>
    <row r="74" spans="1:2">
      <c r="A74" s="15">
        <v>427</v>
      </c>
      <c r="B74" s="15" t="s">
        <v>130</v>
      </c>
    </row>
    <row r="75" spans="1:2">
      <c r="A75" s="15">
        <v>440</v>
      </c>
      <c r="B75" s="15" t="s">
        <v>133</v>
      </c>
    </row>
    <row r="76" spans="1:2">
      <c r="A76" s="15">
        <v>447</v>
      </c>
      <c r="B76" s="15" t="s">
        <v>138</v>
      </c>
    </row>
    <row r="77" spans="1:2">
      <c r="A77" s="15">
        <v>462</v>
      </c>
      <c r="B77" s="15" t="s">
        <v>141</v>
      </c>
    </row>
    <row r="78" spans="1:2">
      <c r="A78" s="15">
        <v>464</v>
      </c>
      <c r="B78" s="15" t="s">
        <v>143</v>
      </c>
    </row>
    <row r="79" spans="1:2">
      <c r="A79" s="15">
        <v>480</v>
      </c>
      <c r="B79" s="15" t="s">
        <v>146</v>
      </c>
    </row>
    <row r="80" spans="1:2">
      <c r="A80" s="15">
        <v>500</v>
      </c>
      <c r="B80" s="15" t="s">
        <v>150</v>
      </c>
    </row>
    <row r="81" spans="1:2">
      <c r="A81" s="15">
        <v>507</v>
      </c>
      <c r="B81" s="15" t="s">
        <v>161</v>
      </c>
    </row>
    <row r="82" spans="1:2">
      <c r="A82" s="15">
        <v>508</v>
      </c>
      <c r="B82" s="15" t="s">
        <v>164</v>
      </c>
    </row>
    <row r="83" spans="1:2">
      <c r="A83" s="15">
        <v>509</v>
      </c>
      <c r="B83" s="15" t="s">
        <v>167</v>
      </c>
    </row>
    <row r="84" spans="1:2">
      <c r="A84" s="15">
        <v>510</v>
      </c>
      <c r="B84" s="15" t="s">
        <v>170</v>
      </c>
    </row>
    <row r="85" spans="1:2">
      <c r="A85" s="15">
        <v>580</v>
      </c>
      <c r="B85" s="15" t="s">
        <v>197</v>
      </c>
    </row>
    <row r="86" spans="1:2">
      <c r="A86" s="15">
        <v>581</v>
      </c>
      <c r="B86" s="15" t="s">
        <v>200</v>
      </c>
    </row>
    <row r="87" spans="1:2">
      <c r="A87" s="15">
        <v>582</v>
      </c>
      <c r="B87" s="15" t="s">
        <v>202</v>
      </c>
    </row>
    <row r="88" spans="1:2">
      <c r="A88" s="15">
        <v>588</v>
      </c>
      <c r="B88" s="15" t="s">
        <v>157</v>
      </c>
    </row>
    <row r="89" spans="1:2">
      <c r="A89" s="15">
        <v>589</v>
      </c>
      <c r="B89" s="15" t="s">
        <v>208</v>
      </c>
    </row>
    <row r="90" spans="1:2">
      <c r="A90" s="15">
        <v>600</v>
      </c>
      <c r="B90" s="15" t="s">
        <v>216</v>
      </c>
    </row>
    <row r="91" spans="1:2">
      <c r="A91" s="15">
        <v>601</v>
      </c>
      <c r="B91" s="15" t="s">
        <v>219</v>
      </c>
    </row>
    <row r="92" spans="1:2">
      <c r="A92" s="15">
        <v>603</v>
      </c>
      <c r="B92" s="15" t="s">
        <v>221</v>
      </c>
    </row>
    <row r="93" spans="1:2">
      <c r="A93" s="15">
        <v>604</v>
      </c>
      <c r="B93" s="15" t="s">
        <v>223</v>
      </c>
    </row>
    <row r="94" spans="1:2">
      <c r="A94" s="14">
        <v>605</v>
      </c>
      <c r="B94" s="14" t="s">
        <v>225</v>
      </c>
    </row>
    <row r="95" spans="1:2">
      <c r="A95" s="14">
        <v>609</v>
      </c>
      <c r="B95" s="14" t="s">
        <v>227</v>
      </c>
    </row>
    <row r="96" spans="1:2">
      <c r="A96" s="14">
        <v>620</v>
      </c>
      <c r="B96" s="14" t="s">
        <v>233</v>
      </c>
    </row>
    <row r="97" spans="1:2">
      <c r="A97" s="14">
        <v>628</v>
      </c>
      <c r="B97" s="14" t="s">
        <v>241</v>
      </c>
    </row>
    <row r="98" spans="1:2">
      <c r="A98" s="14">
        <v>630</v>
      </c>
      <c r="B98" s="14" t="s">
        <v>244</v>
      </c>
    </row>
    <row r="99" spans="1:2">
      <c r="A99" s="14">
        <v>636</v>
      </c>
      <c r="B99" s="14" t="s">
        <v>237</v>
      </c>
    </row>
    <row r="100" spans="1:2">
      <c r="A100" s="14">
        <v>640</v>
      </c>
      <c r="B100" s="14" t="s">
        <v>246</v>
      </c>
    </row>
    <row r="101" spans="1:2">
      <c r="A101" s="14">
        <v>646</v>
      </c>
      <c r="B101" s="14" t="s">
        <v>248</v>
      </c>
    </row>
    <row r="102" spans="1:2">
      <c r="A102" s="14">
        <v>650</v>
      </c>
      <c r="B102" s="14" t="s">
        <v>251</v>
      </c>
    </row>
    <row r="103" spans="1:2">
      <c r="A103" s="14">
        <v>657</v>
      </c>
      <c r="B103" s="14" t="s">
        <v>260</v>
      </c>
    </row>
    <row r="104" spans="1:2">
      <c r="A104" s="14">
        <v>660</v>
      </c>
      <c r="B104" s="14" t="s">
        <v>263</v>
      </c>
    </row>
    <row r="105" spans="1:2">
      <c r="A105" s="14">
        <v>661</v>
      </c>
      <c r="B105" s="14" t="s">
        <v>265</v>
      </c>
    </row>
    <row r="106" spans="1:2">
      <c r="A106" s="14">
        <v>662</v>
      </c>
      <c r="B106" s="14" t="s">
        <v>267</v>
      </c>
    </row>
    <row r="107" spans="1:2">
      <c r="A107" s="14">
        <v>664</v>
      </c>
      <c r="B107" s="14" t="s">
        <v>270</v>
      </c>
    </row>
    <row r="108" spans="1:2">
      <c r="A108" s="14">
        <v>666</v>
      </c>
      <c r="B108" s="14" t="s">
        <v>271</v>
      </c>
    </row>
    <row r="109" spans="1:2">
      <c r="A109" s="14">
        <v>667</v>
      </c>
      <c r="B109" s="14" t="s">
        <v>272</v>
      </c>
    </row>
    <row r="110" spans="1:2">
      <c r="A110" s="14">
        <v>670</v>
      </c>
      <c r="B110" s="14" t="s">
        <v>275</v>
      </c>
    </row>
    <row r="111" spans="1:2">
      <c r="A111" s="14">
        <v>682</v>
      </c>
      <c r="B111" s="14" t="s">
        <v>277</v>
      </c>
    </row>
    <row r="112" spans="1:2">
      <c r="A112" s="14">
        <v>689</v>
      </c>
      <c r="B112" s="14" t="s">
        <v>282</v>
      </c>
    </row>
    <row r="113" spans="1:2">
      <c r="A113" s="14">
        <v>690</v>
      </c>
      <c r="B113" s="14" t="s">
        <v>284</v>
      </c>
    </row>
    <row r="114" spans="1:2">
      <c r="A114" s="14">
        <v>695</v>
      </c>
      <c r="B114" s="14" t="s">
        <v>290</v>
      </c>
    </row>
    <row r="115" spans="1:2">
      <c r="A115" s="14">
        <v>700</v>
      </c>
      <c r="B115" s="14" t="s">
        <v>296</v>
      </c>
    </row>
    <row r="116" spans="1:2">
      <c r="A116" s="14">
        <v>800</v>
      </c>
      <c r="B116" s="14" t="s">
        <v>300</v>
      </c>
    </row>
    <row r="117" spans="1:2">
      <c r="A117" s="14">
        <v>810</v>
      </c>
      <c r="B117" s="14" t="s">
        <v>301</v>
      </c>
    </row>
    <row r="118" spans="1:2">
      <c r="A118" s="14">
        <v>850</v>
      </c>
      <c r="B118" s="14" t="s">
        <v>303</v>
      </c>
    </row>
    <row r="119" spans="1:2">
      <c r="A119" s="14">
        <v>860</v>
      </c>
      <c r="B119" s="14" t="s">
        <v>307</v>
      </c>
    </row>
    <row r="120" spans="1:2">
      <c r="A120" s="14">
        <v>870</v>
      </c>
      <c r="B120" s="14" t="s">
        <v>310</v>
      </c>
    </row>
    <row r="121" spans="1:2">
      <c r="A121" s="15">
        <v>1020</v>
      </c>
      <c r="B121" s="15" t="s">
        <v>11</v>
      </c>
    </row>
    <row r="122" spans="1:2">
      <c r="A122" s="14">
        <v>1021</v>
      </c>
      <c r="B122" s="14" t="s">
        <v>12</v>
      </c>
    </row>
    <row r="123" spans="1:2">
      <c r="A123" s="14">
        <v>1022</v>
      </c>
      <c r="B123" s="14" t="s">
        <v>13</v>
      </c>
    </row>
    <row r="124" spans="1:2">
      <c r="A124" s="14">
        <v>1023</v>
      </c>
      <c r="B124" s="14" t="s">
        <v>14</v>
      </c>
    </row>
    <row r="125" spans="1:2">
      <c r="A125" s="14">
        <v>1029</v>
      </c>
      <c r="B125" s="14" t="s">
        <v>15</v>
      </c>
    </row>
    <row r="126" spans="1:2">
      <c r="A126" s="15">
        <v>1065</v>
      </c>
      <c r="B126" s="15" t="s">
        <v>388</v>
      </c>
    </row>
    <row r="127" spans="1:2">
      <c r="A127" s="15">
        <v>1090</v>
      </c>
      <c r="B127" s="15" t="s">
        <v>16</v>
      </c>
    </row>
    <row r="128" spans="1:2">
      <c r="A128" s="15">
        <v>1091</v>
      </c>
      <c r="B128" s="15" t="s">
        <v>17</v>
      </c>
    </row>
    <row r="129" spans="1:2">
      <c r="A129" s="14">
        <v>1092</v>
      </c>
      <c r="B129" s="14" t="s">
        <v>18</v>
      </c>
    </row>
    <row r="130" spans="1:2">
      <c r="A130" s="14">
        <v>1093</v>
      </c>
      <c r="B130" s="14" t="s">
        <v>19</v>
      </c>
    </row>
    <row r="131" spans="1:2">
      <c r="A131" s="15">
        <v>1094</v>
      </c>
      <c r="B131" s="15" t="s">
        <v>20</v>
      </c>
    </row>
    <row r="132" spans="1:2">
      <c r="A132" s="15">
        <v>1099</v>
      </c>
      <c r="B132" s="15" t="s">
        <v>21</v>
      </c>
    </row>
    <row r="133" spans="1:2">
      <c r="A133" s="15">
        <v>1100</v>
      </c>
      <c r="B133" s="15" t="s">
        <v>22</v>
      </c>
    </row>
    <row r="134" spans="1:2">
      <c r="A134" s="15">
        <v>1110</v>
      </c>
      <c r="B134" s="15" t="s">
        <v>23</v>
      </c>
    </row>
    <row r="135" spans="1:2">
      <c r="A135" s="15">
        <v>1119</v>
      </c>
      <c r="B135" s="15" t="s">
        <v>24</v>
      </c>
    </row>
    <row r="136" spans="1:2">
      <c r="A136" s="15">
        <v>1170</v>
      </c>
      <c r="B136" s="15" t="s">
        <v>26</v>
      </c>
    </row>
    <row r="137" spans="1:2">
      <c r="A137" s="15">
        <v>1171</v>
      </c>
      <c r="B137" s="15" t="s">
        <v>27</v>
      </c>
    </row>
    <row r="138" spans="1:2">
      <c r="A138" s="15">
        <v>1172</v>
      </c>
      <c r="B138" s="15" t="s">
        <v>28</v>
      </c>
    </row>
    <row r="139" spans="1:2">
      <c r="A139" s="14">
        <v>1173</v>
      </c>
      <c r="B139" s="14" t="s">
        <v>29</v>
      </c>
    </row>
    <row r="140" spans="1:2">
      <c r="A140" s="14">
        <v>1174</v>
      </c>
      <c r="B140" s="14" t="s">
        <v>30</v>
      </c>
    </row>
    <row r="141" spans="1:2">
      <c r="A141" s="14">
        <v>1175</v>
      </c>
      <c r="B141" s="14" t="s">
        <v>31</v>
      </c>
    </row>
    <row r="142" spans="1:2">
      <c r="A142" s="14">
        <v>1183</v>
      </c>
      <c r="B142" s="14" t="s">
        <v>32</v>
      </c>
    </row>
    <row r="143" spans="1:2">
      <c r="A143" s="14">
        <v>1184</v>
      </c>
      <c r="B143" s="14" t="s">
        <v>33</v>
      </c>
    </row>
    <row r="144" spans="1:2">
      <c r="A144" s="14">
        <v>1188</v>
      </c>
      <c r="B144" s="14" t="s">
        <v>34</v>
      </c>
    </row>
    <row r="145" spans="1:2">
      <c r="A145" s="14">
        <v>1190</v>
      </c>
      <c r="B145" s="14" t="s">
        <v>35</v>
      </c>
    </row>
    <row r="146" spans="1:2">
      <c r="A146" s="14">
        <v>1192</v>
      </c>
      <c r="B146" s="14" t="s">
        <v>36</v>
      </c>
    </row>
    <row r="147" spans="1:2">
      <c r="A147" s="14">
        <v>1200</v>
      </c>
      <c r="B147" s="14" t="s">
        <v>38</v>
      </c>
    </row>
    <row r="148" spans="1:2">
      <c r="A148" s="14">
        <v>1208</v>
      </c>
      <c r="B148" s="14" t="s">
        <v>39</v>
      </c>
    </row>
    <row r="149" spans="1:2">
      <c r="A149" s="14">
        <v>1280</v>
      </c>
      <c r="B149" s="14" t="s">
        <v>40</v>
      </c>
    </row>
    <row r="150" spans="1:2">
      <c r="A150" s="14">
        <v>1287</v>
      </c>
      <c r="B150" s="14" t="s">
        <v>41</v>
      </c>
    </row>
    <row r="151" spans="1:2">
      <c r="A151" s="14">
        <v>1300</v>
      </c>
      <c r="B151" s="14" t="s">
        <v>43</v>
      </c>
    </row>
    <row r="152" spans="1:2">
      <c r="A152" s="14">
        <v>1301</v>
      </c>
      <c r="B152" s="14" t="s">
        <v>44</v>
      </c>
    </row>
    <row r="153" spans="1:2">
      <c r="A153" s="14">
        <v>1500</v>
      </c>
      <c r="B153" s="14" t="s">
        <v>49</v>
      </c>
    </row>
    <row r="154" spans="1:2">
      <c r="A154" s="14">
        <v>1510</v>
      </c>
      <c r="B154" s="14" t="s">
        <v>50</v>
      </c>
    </row>
    <row r="155" spans="1:2">
      <c r="A155" s="15">
        <v>1511</v>
      </c>
      <c r="B155" s="15" t="s">
        <v>51</v>
      </c>
    </row>
    <row r="156" spans="1:2">
      <c r="A156" s="15">
        <v>1513</v>
      </c>
      <c r="B156" s="15" t="s">
        <v>52</v>
      </c>
    </row>
    <row r="157" spans="1:2">
      <c r="A157" s="15">
        <v>1520</v>
      </c>
      <c r="B157" s="15" t="s">
        <v>53</v>
      </c>
    </row>
    <row r="158" spans="1:2">
      <c r="A158" s="15">
        <v>1521</v>
      </c>
      <c r="B158" s="15" t="s">
        <v>54</v>
      </c>
    </row>
    <row r="159" spans="1:2">
      <c r="A159" s="14">
        <v>1522</v>
      </c>
      <c r="B159" s="14" t="s">
        <v>46</v>
      </c>
    </row>
    <row r="160" spans="1:2">
      <c r="A160" s="15">
        <v>1530</v>
      </c>
      <c r="B160" s="15" t="s">
        <v>55</v>
      </c>
    </row>
    <row r="161" spans="1:2">
      <c r="A161" s="14">
        <v>1532</v>
      </c>
      <c r="B161" s="14" t="s">
        <v>47</v>
      </c>
    </row>
    <row r="162" spans="1:2">
      <c r="A162" s="15">
        <v>1540</v>
      </c>
      <c r="B162" s="15" t="s">
        <v>56</v>
      </c>
    </row>
    <row r="163" spans="1:2">
      <c r="A163" s="15">
        <v>1550</v>
      </c>
      <c r="B163" s="15" t="s">
        <v>57</v>
      </c>
    </row>
    <row r="164" spans="1:2">
      <c r="A164" s="15">
        <v>1850</v>
      </c>
      <c r="B164" s="15" t="s">
        <v>59</v>
      </c>
    </row>
    <row r="165" spans="1:2">
      <c r="A165" s="15">
        <v>2000</v>
      </c>
      <c r="B165" s="15" t="s">
        <v>63</v>
      </c>
    </row>
    <row r="166" spans="1:2">
      <c r="A166" s="15">
        <v>2030</v>
      </c>
      <c r="B166" s="15" t="s">
        <v>64</v>
      </c>
    </row>
    <row r="167" spans="1:2">
      <c r="A167" s="15">
        <v>2100</v>
      </c>
      <c r="B167" s="15" t="s">
        <v>66</v>
      </c>
    </row>
    <row r="168" spans="1:2">
      <c r="A168" s="15">
        <v>2107</v>
      </c>
      <c r="B168" s="15" t="s">
        <v>67</v>
      </c>
    </row>
    <row r="169" spans="1:2">
      <c r="A169" s="15">
        <v>2111</v>
      </c>
      <c r="B169" s="15" t="s">
        <v>68</v>
      </c>
    </row>
    <row r="170" spans="1:2">
      <c r="A170" s="14">
        <v>2200</v>
      </c>
      <c r="B170" s="14" t="s">
        <v>70</v>
      </c>
    </row>
    <row r="171" spans="1:2">
      <c r="A171" s="15">
        <v>2201</v>
      </c>
      <c r="B171" s="15" t="s">
        <v>31</v>
      </c>
    </row>
    <row r="172" spans="1:2">
      <c r="A172" s="15">
        <v>2202</v>
      </c>
      <c r="B172" s="15" t="s">
        <v>71</v>
      </c>
    </row>
    <row r="173" spans="1:2">
      <c r="A173" s="15">
        <v>2203</v>
      </c>
      <c r="B173" s="15" t="s">
        <v>72</v>
      </c>
    </row>
    <row r="174" spans="1:2">
      <c r="A174" s="15">
        <v>2206</v>
      </c>
      <c r="B174" s="15" t="s">
        <v>73</v>
      </c>
    </row>
    <row r="175" spans="1:2">
      <c r="A175" s="15">
        <v>2220</v>
      </c>
      <c r="B175" s="15" t="s">
        <v>74</v>
      </c>
    </row>
    <row r="176" spans="1:2">
      <c r="A176" s="15">
        <v>2270</v>
      </c>
      <c r="B176" s="15" t="s">
        <v>75</v>
      </c>
    </row>
    <row r="177" spans="1:2">
      <c r="A177" s="15">
        <v>2271</v>
      </c>
      <c r="B177" s="15" t="s">
        <v>76</v>
      </c>
    </row>
    <row r="178" spans="1:2">
      <c r="A178" s="15">
        <v>2272</v>
      </c>
      <c r="B178" s="15" t="s">
        <v>77</v>
      </c>
    </row>
    <row r="179" spans="1:2">
      <c r="A179" s="15">
        <v>2273</v>
      </c>
      <c r="B179" s="15" t="s">
        <v>32</v>
      </c>
    </row>
    <row r="180" spans="1:2">
      <c r="A180" s="15">
        <v>2274</v>
      </c>
      <c r="B180" s="15" t="s">
        <v>33</v>
      </c>
    </row>
    <row r="181" spans="1:2">
      <c r="A181" s="15">
        <v>2279</v>
      </c>
      <c r="B181" s="15" t="s">
        <v>34</v>
      </c>
    </row>
    <row r="182" spans="1:2">
      <c r="A182" s="15">
        <v>2290</v>
      </c>
      <c r="B182" s="15" t="s">
        <v>389</v>
      </c>
    </row>
    <row r="183" spans="1:2">
      <c r="A183" s="15">
        <v>2300</v>
      </c>
      <c r="B183" s="15" t="s">
        <v>79</v>
      </c>
    </row>
    <row r="184" spans="1:2">
      <c r="A184" s="14">
        <v>2301</v>
      </c>
      <c r="B184" s="14" t="s">
        <v>80</v>
      </c>
    </row>
    <row r="185" spans="1:2">
      <c r="A185" s="14">
        <v>2391</v>
      </c>
      <c r="B185" s="14" t="s">
        <v>81</v>
      </c>
    </row>
    <row r="186" spans="1:2">
      <c r="A186" s="14">
        <v>2400</v>
      </c>
      <c r="B186" s="14" t="s">
        <v>67</v>
      </c>
    </row>
    <row r="187" spans="1:2">
      <c r="A187" s="14">
        <v>2420</v>
      </c>
      <c r="B187" s="14" t="s">
        <v>84</v>
      </c>
    </row>
    <row r="188" spans="1:2">
      <c r="A188" s="14">
        <v>2430</v>
      </c>
      <c r="B188" s="14" t="s">
        <v>85</v>
      </c>
    </row>
    <row r="189" spans="1:2">
      <c r="A189" s="14">
        <v>2431</v>
      </c>
      <c r="B189" s="14" t="s">
        <v>86</v>
      </c>
    </row>
    <row r="190" spans="1:2">
      <c r="A190" s="14">
        <v>2432</v>
      </c>
      <c r="B190" s="14" t="s">
        <v>87</v>
      </c>
    </row>
    <row r="191" spans="1:2">
      <c r="A191" s="14">
        <v>2500</v>
      </c>
      <c r="B191" s="14" t="s">
        <v>89</v>
      </c>
    </row>
    <row r="192" spans="1:2">
      <c r="A192" s="14">
        <v>2630</v>
      </c>
      <c r="B192" s="14" t="s">
        <v>91</v>
      </c>
    </row>
    <row r="193" spans="1:2">
      <c r="A193" s="14">
        <v>2800</v>
      </c>
      <c r="B193" s="14" t="s">
        <v>94</v>
      </c>
    </row>
    <row r="194" spans="1:2">
      <c r="A194" s="14">
        <v>2950</v>
      </c>
      <c r="B194" s="14" t="s">
        <v>96</v>
      </c>
    </row>
    <row r="195" spans="1:2">
      <c r="A195" s="14">
        <v>2960</v>
      </c>
      <c r="B195" s="14" t="s">
        <v>97</v>
      </c>
    </row>
    <row r="196" spans="1:2">
      <c r="A196" s="14">
        <v>2970</v>
      </c>
      <c r="B196" s="14" t="s">
        <v>98</v>
      </c>
    </row>
    <row r="197" spans="1:2">
      <c r="A197" s="14">
        <v>2979</v>
      </c>
      <c r="B197" s="14" t="s">
        <v>99</v>
      </c>
    </row>
    <row r="198" spans="1:2">
      <c r="A198" s="14">
        <v>3200</v>
      </c>
      <c r="B198" s="14" t="s">
        <v>102</v>
      </c>
    </row>
    <row r="199" spans="1:2">
      <c r="A199" s="14">
        <v>3201</v>
      </c>
      <c r="B199" s="14" t="s">
        <v>103</v>
      </c>
    </row>
    <row r="200" spans="1:2">
      <c r="A200" s="14">
        <v>3207</v>
      </c>
      <c r="B200" s="14" t="s">
        <v>104</v>
      </c>
    </row>
    <row r="201" spans="1:2">
      <c r="A201" s="14">
        <v>3208</v>
      </c>
      <c r="B201" s="14" t="s">
        <v>105</v>
      </c>
    </row>
    <row r="202" spans="1:2">
      <c r="A202" s="14">
        <v>3209</v>
      </c>
      <c r="B202" s="14" t="s">
        <v>106</v>
      </c>
    </row>
    <row r="203" spans="1:2">
      <c r="A203" s="14">
        <v>3400</v>
      </c>
      <c r="B203" s="14" t="s">
        <v>108</v>
      </c>
    </row>
    <row r="204" spans="1:2">
      <c r="A204" s="14">
        <v>3401</v>
      </c>
      <c r="B204" s="14" t="s">
        <v>109</v>
      </c>
    </row>
    <row r="205" spans="1:2">
      <c r="A205" s="14">
        <v>3402</v>
      </c>
      <c r="B205" s="14" t="s">
        <v>110</v>
      </c>
    </row>
    <row r="206" spans="1:2">
      <c r="A206" s="14">
        <v>3407</v>
      </c>
      <c r="B206" s="14" t="s">
        <v>111</v>
      </c>
    </row>
    <row r="207" spans="1:2">
      <c r="A207" s="14">
        <v>3408</v>
      </c>
      <c r="B207" s="14" t="s">
        <v>105</v>
      </c>
    </row>
    <row r="208" spans="1:2">
      <c r="A208" s="15">
        <v>3409</v>
      </c>
      <c r="B208" s="15" t="s">
        <v>106</v>
      </c>
    </row>
    <row r="209" spans="1:2">
      <c r="A209" s="15">
        <v>3602</v>
      </c>
      <c r="B209" s="15" t="s">
        <v>114</v>
      </c>
    </row>
    <row r="210" spans="1:2">
      <c r="A210" s="15">
        <v>3607</v>
      </c>
      <c r="B210" s="15" t="s">
        <v>115</v>
      </c>
    </row>
    <row r="211" spans="1:2">
      <c r="A211" s="15">
        <v>3680</v>
      </c>
      <c r="B211" s="15" t="s">
        <v>116</v>
      </c>
    </row>
    <row r="212" spans="1:2">
      <c r="A212" s="15">
        <v>3800</v>
      </c>
      <c r="B212" s="15" t="s">
        <v>118</v>
      </c>
    </row>
    <row r="213" spans="1:2">
      <c r="A213" s="15">
        <v>3801</v>
      </c>
      <c r="B213" s="15" t="s">
        <v>119</v>
      </c>
    </row>
    <row r="214" spans="1:2">
      <c r="A214" s="15">
        <v>3802</v>
      </c>
      <c r="B214" s="15" t="s">
        <v>120</v>
      </c>
    </row>
    <row r="215" spans="1:2">
      <c r="A215" s="15">
        <v>3803</v>
      </c>
      <c r="B215" s="15" t="s">
        <v>121</v>
      </c>
    </row>
    <row r="216" spans="1:2">
      <c r="A216" s="15">
        <v>3804</v>
      </c>
      <c r="B216" s="15" t="s">
        <v>122</v>
      </c>
    </row>
    <row r="217" spans="1:2">
      <c r="A217" s="15">
        <v>3805</v>
      </c>
      <c r="B217" s="15" t="s">
        <v>123</v>
      </c>
    </row>
    <row r="218" spans="1:2">
      <c r="A218" s="15">
        <v>3806</v>
      </c>
      <c r="B218" s="15" t="s">
        <v>124</v>
      </c>
    </row>
    <row r="219" spans="1:2">
      <c r="A219" s="15">
        <v>3809</v>
      </c>
      <c r="B219" s="15" t="s">
        <v>125</v>
      </c>
    </row>
    <row r="220" spans="1:2">
      <c r="A220" s="15">
        <v>3900</v>
      </c>
      <c r="B220" s="15" t="s">
        <v>390</v>
      </c>
    </row>
    <row r="221" spans="1:2">
      <c r="A221" s="15">
        <v>4200</v>
      </c>
      <c r="B221" s="15" t="s">
        <v>128</v>
      </c>
    </row>
    <row r="222" spans="1:2">
      <c r="A222" s="15">
        <v>4205</v>
      </c>
      <c r="B222" s="15" t="s">
        <v>129</v>
      </c>
    </row>
    <row r="223" spans="1:2">
      <c r="A223" s="15">
        <v>4270</v>
      </c>
      <c r="B223" s="15" t="s">
        <v>131</v>
      </c>
    </row>
    <row r="224" spans="1:2">
      <c r="A224" s="15">
        <v>4400</v>
      </c>
      <c r="B224" s="15" t="s">
        <v>134</v>
      </c>
    </row>
    <row r="225" spans="1:2">
      <c r="A225" s="15">
        <v>4401</v>
      </c>
      <c r="B225" s="15" t="s">
        <v>135</v>
      </c>
    </row>
    <row r="226" spans="1:2">
      <c r="A226" s="15">
        <v>4407</v>
      </c>
      <c r="B226" s="15" t="s">
        <v>136</v>
      </c>
    </row>
    <row r="227" spans="1:2">
      <c r="A227" s="15">
        <v>4409</v>
      </c>
      <c r="B227" s="15" t="s">
        <v>137</v>
      </c>
    </row>
    <row r="228" spans="1:2">
      <c r="A228" s="15">
        <v>4470</v>
      </c>
      <c r="B228" s="15" t="s">
        <v>139</v>
      </c>
    </row>
    <row r="229" spans="1:2">
      <c r="A229" s="15">
        <v>4620</v>
      </c>
      <c r="B229" s="15" t="s">
        <v>142</v>
      </c>
    </row>
    <row r="230" spans="1:2">
      <c r="A230" s="15">
        <v>4640</v>
      </c>
      <c r="B230" s="15" t="s">
        <v>144</v>
      </c>
    </row>
    <row r="231" spans="1:2">
      <c r="A231" s="15">
        <v>4700</v>
      </c>
      <c r="B231" s="15" t="s">
        <v>131</v>
      </c>
    </row>
    <row r="232" spans="1:2">
      <c r="A232" s="15">
        <v>4800</v>
      </c>
      <c r="B232" s="15" t="s">
        <v>147</v>
      </c>
    </row>
    <row r="233" spans="1:2">
      <c r="A233" s="15">
        <v>4900</v>
      </c>
      <c r="B233" s="15" t="s">
        <v>118</v>
      </c>
    </row>
    <row r="234" spans="1:2">
      <c r="A234" s="15">
        <v>4901</v>
      </c>
      <c r="B234" s="15" t="s">
        <v>119</v>
      </c>
    </row>
    <row r="235" spans="1:2">
      <c r="A235" s="15">
        <v>4902</v>
      </c>
      <c r="B235" s="15" t="s">
        <v>120</v>
      </c>
    </row>
    <row r="236" spans="1:2">
      <c r="A236" s="15">
        <v>4903</v>
      </c>
      <c r="B236" s="15" t="s">
        <v>148</v>
      </c>
    </row>
    <row r="237" spans="1:2">
      <c r="A237" s="15">
        <v>4906</v>
      </c>
      <c r="B237" s="15" t="s">
        <v>124</v>
      </c>
    </row>
    <row r="238" spans="1:2">
      <c r="A238" s="15">
        <v>5000</v>
      </c>
      <c r="B238" s="15" t="s">
        <v>151</v>
      </c>
    </row>
    <row r="239" spans="1:2">
      <c r="A239" s="15">
        <v>5001</v>
      </c>
      <c r="B239" s="15" t="s">
        <v>152</v>
      </c>
    </row>
    <row r="240" spans="1:2">
      <c r="A240" s="15">
        <v>5002</v>
      </c>
      <c r="B240" s="15" t="s">
        <v>153</v>
      </c>
    </row>
    <row r="241" spans="1:2">
      <c r="A241" s="15">
        <v>5003</v>
      </c>
      <c r="B241" s="15" t="s">
        <v>154</v>
      </c>
    </row>
    <row r="242" spans="1:2">
      <c r="A242" s="15">
        <v>5004</v>
      </c>
      <c r="B242" s="15" t="s">
        <v>155</v>
      </c>
    </row>
    <row r="243" spans="1:2">
      <c r="A243" s="15">
        <v>5005</v>
      </c>
      <c r="B243" s="15" t="s">
        <v>156</v>
      </c>
    </row>
    <row r="244" spans="1:2">
      <c r="A244" s="15">
        <v>5006</v>
      </c>
      <c r="B244" s="15" t="s">
        <v>162</v>
      </c>
    </row>
    <row r="245" spans="1:2">
      <c r="A245" s="15">
        <v>5007</v>
      </c>
      <c r="B245" s="15" t="s">
        <v>163</v>
      </c>
    </row>
    <row r="246" spans="1:2">
      <c r="A246" s="15">
        <v>5008</v>
      </c>
      <c r="B246" s="15" t="s">
        <v>157</v>
      </c>
    </row>
    <row r="247" spans="1:2">
      <c r="A247" s="15">
        <v>5009</v>
      </c>
      <c r="B247" s="15" t="s">
        <v>168</v>
      </c>
    </row>
    <row r="248" spans="1:2">
      <c r="A248" s="15">
        <v>5010</v>
      </c>
      <c r="B248" s="15" t="s">
        <v>169</v>
      </c>
    </row>
    <row r="249" spans="1:2">
      <c r="A249" s="15">
        <v>5011</v>
      </c>
      <c r="B249" s="15" t="s">
        <v>158</v>
      </c>
    </row>
    <row r="250" spans="1:2">
      <c r="A250" s="15">
        <v>5012</v>
      </c>
      <c r="B250" s="15" t="s">
        <v>171</v>
      </c>
    </row>
    <row r="251" spans="1:2">
      <c r="A251" s="15">
        <v>5013</v>
      </c>
      <c r="B251" s="15" t="s">
        <v>172</v>
      </c>
    </row>
    <row r="252" spans="1:2">
      <c r="A252" s="15">
        <v>5020</v>
      </c>
      <c r="B252" s="15" t="s">
        <v>165</v>
      </c>
    </row>
    <row r="253" spans="1:2">
      <c r="A253" s="15">
        <v>5021</v>
      </c>
      <c r="B253" s="15" t="s">
        <v>166</v>
      </c>
    </row>
    <row r="254" spans="1:2">
      <c r="A254" s="15">
        <v>5301</v>
      </c>
      <c r="B254" s="15" t="s">
        <v>174</v>
      </c>
    </row>
    <row r="255" spans="1:2">
      <c r="A255" s="15">
        <v>5600</v>
      </c>
      <c r="B255" s="15" t="s">
        <v>159</v>
      </c>
    </row>
    <row r="256" spans="1:2">
      <c r="A256" s="15">
        <v>5601</v>
      </c>
      <c r="B256" s="15" t="s">
        <v>160</v>
      </c>
    </row>
    <row r="257" spans="1:2">
      <c r="A257" s="15">
        <v>5700</v>
      </c>
      <c r="B257" s="15" t="s">
        <v>182</v>
      </c>
    </row>
    <row r="258" spans="1:2">
      <c r="A258" s="15">
        <v>5701</v>
      </c>
      <c r="B258" s="15" t="s">
        <v>188</v>
      </c>
    </row>
    <row r="259" spans="1:2">
      <c r="A259" s="14">
        <v>5702</v>
      </c>
      <c r="B259" s="14" t="s">
        <v>176</v>
      </c>
    </row>
    <row r="260" spans="1:2">
      <c r="A260" s="15">
        <v>5703</v>
      </c>
      <c r="B260" s="15" t="s">
        <v>210</v>
      </c>
    </row>
    <row r="261" spans="1:2">
      <c r="A261" s="15">
        <v>5704</v>
      </c>
      <c r="B261" s="15" t="s">
        <v>211</v>
      </c>
    </row>
    <row r="262" spans="1:2">
      <c r="A262" s="14">
        <v>5705</v>
      </c>
      <c r="B262" s="14" t="s">
        <v>392</v>
      </c>
    </row>
    <row r="263" spans="1:2">
      <c r="A263" s="14">
        <v>5706</v>
      </c>
      <c r="B263" s="14" t="s">
        <v>393</v>
      </c>
    </row>
    <row r="264" spans="1:2">
      <c r="A264" s="14">
        <v>5707</v>
      </c>
      <c r="B264" s="14" t="s">
        <v>394</v>
      </c>
    </row>
    <row r="265" spans="1:2">
      <c r="A265" s="15">
        <v>5708</v>
      </c>
      <c r="B265" s="15" t="s">
        <v>395</v>
      </c>
    </row>
    <row r="266" spans="1:2">
      <c r="A266" s="15">
        <v>5709</v>
      </c>
      <c r="B266" s="15" t="s">
        <v>396</v>
      </c>
    </row>
    <row r="267" spans="1:2">
      <c r="A267" s="15">
        <v>5710</v>
      </c>
      <c r="B267" s="15" t="s">
        <v>189</v>
      </c>
    </row>
    <row r="268" spans="1:2">
      <c r="A268" s="15">
        <v>5711</v>
      </c>
      <c r="B268" s="15" t="s">
        <v>190</v>
      </c>
    </row>
    <row r="269" spans="1:2">
      <c r="A269" s="15">
        <v>5712</v>
      </c>
      <c r="B269" s="15" t="s">
        <v>397</v>
      </c>
    </row>
    <row r="270" spans="1:2">
      <c r="A270" s="15">
        <v>5720</v>
      </c>
      <c r="B270" s="15" t="s">
        <v>183</v>
      </c>
    </row>
    <row r="271" spans="1:2">
      <c r="A271" s="15">
        <v>5721</v>
      </c>
      <c r="B271" s="15" t="s">
        <v>191</v>
      </c>
    </row>
    <row r="272" spans="1:2">
      <c r="A272" s="14">
        <v>5722</v>
      </c>
      <c r="B272" s="14" t="s">
        <v>177</v>
      </c>
    </row>
    <row r="273" spans="1:2">
      <c r="A273" s="15">
        <v>5730</v>
      </c>
      <c r="B273" s="15" t="s">
        <v>184</v>
      </c>
    </row>
    <row r="274" spans="1:2">
      <c r="A274" s="15">
        <v>5731</v>
      </c>
      <c r="B274" s="15" t="s">
        <v>192</v>
      </c>
    </row>
    <row r="275" spans="1:2">
      <c r="A275" s="14">
        <v>5732</v>
      </c>
      <c r="B275" s="14" t="s">
        <v>178</v>
      </c>
    </row>
    <row r="276" spans="1:2">
      <c r="A276" s="15">
        <v>5733</v>
      </c>
      <c r="B276" s="15" t="s">
        <v>212</v>
      </c>
    </row>
    <row r="277" spans="1:2">
      <c r="A277" s="15">
        <v>5740</v>
      </c>
      <c r="B277" s="15" t="s">
        <v>185</v>
      </c>
    </row>
    <row r="278" spans="1:2">
      <c r="A278" s="15">
        <v>5741</v>
      </c>
      <c r="B278" s="15" t="s">
        <v>193</v>
      </c>
    </row>
    <row r="279" spans="1:2">
      <c r="A279" s="14">
        <v>5742</v>
      </c>
      <c r="B279" s="14" t="s">
        <v>179</v>
      </c>
    </row>
    <row r="280" spans="1:2">
      <c r="A280" s="15">
        <v>5743</v>
      </c>
      <c r="B280" s="15" t="s">
        <v>213</v>
      </c>
    </row>
    <row r="281" spans="1:2">
      <c r="A281" s="15">
        <v>5790</v>
      </c>
      <c r="B281" s="15" t="s">
        <v>186</v>
      </c>
    </row>
    <row r="282" spans="1:2">
      <c r="A282" s="15">
        <v>5791</v>
      </c>
      <c r="B282" s="15" t="s">
        <v>194</v>
      </c>
    </row>
    <row r="283" spans="1:2">
      <c r="A283" s="14">
        <v>5792</v>
      </c>
      <c r="B283" s="14" t="s">
        <v>180</v>
      </c>
    </row>
    <row r="284" spans="1:2">
      <c r="A284" s="15">
        <v>5800</v>
      </c>
      <c r="B284" s="15" t="s">
        <v>198</v>
      </c>
    </row>
    <row r="285" spans="1:2">
      <c r="A285" s="15">
        <v>5801</v>
      </c>
      <c r="B285" s="15" t="s">
        <v>199</v>
      </c>
    </row>
    <row r="286" spans="1:2">
      <c r="A286" s="15">
        <v>5810</v>
      </c>
      <c r="B286" s="15" t="s">
        <v>201</v>
      </c>
    </row>
    <row r="287" spans="1:2">
      <c r="A287" s="15">
        <v>5811</v>
      </c>
      <c r="B287" s="15" t="s">
        <v>201</v>
      </c>
    </row>
    <row r="288" spans="1:2">
      <c r="A288" s="15">
        <v>5820</v>
      </c>
      <c r="B288" s="15" t="s">
        <v>203</v>
      </c>
    </row>
    <row r="289" spans="1:2">
      <c r="A289" s="15">
        <v>5821</v>
      </c>
      <c r="B289" s="15" t="s">
        <v>204</v>
      </c>
    </row>
    <row r="290" spans="1:2">
      <c r="A290" s="15">
        <v>5822</v>
      </c>
      <c r="B290" s="15" t="s">
        <v>205</v>
      </c>
    </row>
    <row r="291" spans="1:2">
      <c r="A291" s="15">
        <v>5832</v>
      </c>
      <c r="B291" s="15" t="s">
        <v>206</v>
      </c>
    </row>
    <row r="292" spans="1:2">
      <c r="A292" s="15">
        <v>5880</v>
      </c>
      <c r="B292" s="15" t="s">
        <v>207</v>
      </c>
    </row>
    <row r="293" spans="1:2">
      <c r="A293" s="15">
        <v>5890</v>
      </c>
      <c r="B293" s="15" t="s">
        <v>195</v>
      </c>
    </row>
    <row r="294" spans="1:2">
      <c r="A294" s="15">
        <v>5891</v>
      </c>
      <c r="B294" s="15" t="s">
        <v>196</v>
      </c>
    </row>
    <row r="295" spans="1:2">
      <c r="A295" s="15">
        <v>6000</v>
      </c>
      <c r="B295" s="15" t="s">
        <v>217</v>
      </c>
    </row>
    <row r="296" spans="1:2">
      <c r="A296" s="15">
        <v>6006</v>
      </c>
      <c r="B296" s="15" t="s">
        <v>218</v>
      </c>
    </row>
    <row r="297" spans="1:2">
      <c r="A297" s="15">
        <v>6010</v>
      </c>
      <c r="B297" s="15" t="s">
        <v>220</v>
      </c>
    </row>
    <row r="298" spans="1:2">
      <c r="A298" s="14">
        <v>6030</v>
      </c>
      <c r="B298" s="14" t="s">
        <v>222</v>
      </c>
    </row>
    <row r="299" spans="1:2">
      <c r="A299" s="15">
        <v>6040</v>
      </c>
      <c r="B299" s="15" t="s">
        <v>224</v>
      </c>
    </row>
    <row r="300" spans="1:2">
      <c r="A300" s="14">
        <v>6050</v>
      </c>
      <c r="B300" s="14" t="s">
        <v>226</v>
      </c>
    </row>
    <row r="301" spans="1:2">
      <c r="A301" s="14">
        <v>6090</v>
      </c>
      <c r="B301" s="14" t="s">
        <v>227</v>
      </c>
    </row>
    <row r="302" spans="1:2">
      <c r="A302" s="14">
        <v>6100</v>
      </c>
      <c r="B302" s="14" t="s">
        <v>229</v>
      </c>
    </row>
    <row r="303" spans="1:2">
      <c r="A303" s="14">
        <v>6101</v>
      </c>
      <c r="B303" s="14" t="s">
        <v>230</v>
      </c>
    </row>
    <row r="304" spans="1:2">
      <c r="A304" s="14">
        <v>6130</v>
      </c>
      <c r="B304" s="14" t="s">
        <v>231</v>
      </c>
    </row>
    <row r="305" spans="1:2">
      <c r="A305" s="14">
        <v>6200</v>
      </c>
      <c r="B305" s="14" t="s">
        <v>234</v>
      </c>
    </row>
    <row r="306" spans="1:2">
      <c r="A306" s="14">
        <v>6210</v>
      </c>
      <c r="B306" s="14" t="s">
        <v>235</v>
      </c>
    </row>
    <row r="307" spans="1:2">
      <c r="A307" s="14">
        <v>6220</v>
      </c>
      <c r="B307" s="14" t="s">
        <v>236</v>
      </c>
    </row>
    <row r="308" spans="1:2">
      <c r="A308" s="14">
        <v>6230</v>
      </c>
      <c r="B308" s="14" t="s">
        <v>237</v>
      </c>
    </row>
    <row r="309" spans="1:2">
      <c r="A309" s="14">
        <v>6260</v>
      </c>
      <c r="B309" s="14" t="s">
        <v>238</v>
      </c>
    </row>
    <row r="310" spans="1:2">
      <c r="A310" s="14">
        <v>6264</v>
      </c>
      <c r="B310" s="14" t="s">
        <v>239</v>
      </c>
    </row>
    <row r="311" spans="1:2">
      <c r="A311" s="14">
        <v>6270</v>
      </c>
      <c r="B311" s="14" t="s">
        <v>240</v>
      </c>
    </row>
    <row r="312" spans="1:2">
      <c r="A312" s="14">
        <v>6280</v>
      </c>
      <c r="B312" s="14" t="s">
        <v>242</v>
      </c>
    </row>
    <row r="313" spans="1:2">
      <c r="A313" s="14">
        <v>6300</v>
      </c>
      <c r="B313" s="14" t="s">
        <v>244</v>
      </c>
    </row>
    <row r="314" spans="1:2">
      <c r="A314" s="14">
        <v>6360</v>
      </c>
      <c r="B314" s="14" t="s">
        <v>237</v>
      </c>
    </row>
    <row r="315" spans="1:2">
      <c r="A315" s="14">
        <v>6400</v>
      </c>
      <c r="B315" s="14" t="s">
        <v>247</v>
      </c>
    </row>
    <row r="316" spans="1:2">
      <c r="A316" s="14">
        <v>6460</v>
      </c>
      <c r="B316" s="14" t="s">
        <v>249</v>
      </c>
    </row>
    <row r="317" spans="1:2">
      <c r="A317" s="14">
        <v>6500</v>
      </c>
      <c r="B317" s="14" t="s">
        <v>129</v>
      </c>
    </row>
    <row r="318" spans="1:2">
      <c r="A318" s="14">
        <v>6503</v>
      </c>
      <c r="B318" s="14" t="s">
        <v>252</v>
      </c>
    </row>
    <row r="319" spans="1:2">
      <c r="A319" s="14">
        <v>6510</v>
      </c>
      <c r="B319" s="14" t="s">
        <v>253</v>
      </c>
    </row>
    <row r="320" spans="1:2">
      <c r="A320" s="14">
        <v>6512</v>
      </c>
      <c r="B320" s="14" t="s">
        <v>254</v>
      </c>
    </row>
    <row r="321" spans="1:2">
      <c r="A321" s="14">
        <v>6513</v>
      </c>
      <c r="B321" s="14" t="s">
        <v>255</v>
      </c>
    </row>
    <row r="322" spans="1:2">
      <c r="A322" s="14">
        <v>6520</v>
      </c>
      <c r="B322" s="14" t="s">
        <v>256</v>
      </c>
    </row>
    <row r="323" spans="1:2">
      <c r="A323" s="14">
        <v>6530</v>
      </c>
      <c r="B323" s="14" t="s">
        <v>257</v>
      </c>
    </row>
    <row r="324" spans="1:2">
      <c r="A324" s="14">
        <v>6551</v>
      </c>
      <c r="B324" s="14" t="s">
        <v>258</v>
      </c>
    </row>
    <row r="325" spans="1:2">
      <c r="A325" s="14">
        <v>6559</v>
      </c>
      <c r="B325" s="14" t="s">
        <v>259</v>
      </c>
    </row>
    <row r="326" spans="1:2">
      <c r="A326" s="14">
        <v>6570</v>
      </c>
      <c r="B326" s="14" t="s">
        <v>261</v>
      </c>
    </row>
    <row r="327" spans="1:2">
      <c r="A327" s="14">
        <v>6600</v>
      </c>
      <c r="B327" s="14" t="s">
        <v>264</v>
      </c>
    </row>
    <row r="328" spans="1:2">
      <c r="A328" s="14">
        <v>6610</v>
      </c>
      <c r="B328" s="14" t="s">
        <v>266</v>
      </c>
    </row>
    <row r="329" spans="1:2">
      <c r="A329" s="14">
        <v>6620</v>
      </c>
      <c r="B329" s="14" t="s">
        <v>268</v>
      </c>
    </row>
    <row r="330" spans="1:2">
      <c r="A330" s="14">
        <v>6621</v>
      </c>
      <c r="B330" s="14" t="s">
        <v>269</v>
      </c>
    </row>
    <row r="331" spans="1:2">
      <c r="A331" s="14">
        <v>6640</v>
      </c>
      <c r="B331" s="14" t="s">
        <v>270</v>
      </c>
    </row>
    <row r="332" spans="1:2">
      <c r="A332" s="14">
        <v>6660</v>
      </c>
      <c r="B332" s="14" t="s">
        <v>271</v>
      </c>
    </row>
    <row r="333" spans="1:2">
      <c r="A333" s="14">
        <v>6670</v>
      </c>
      <c r="B333" s="14" t="s">
        <v>273</v>
      </c>
    </row>
    <row r="334" spans="1:2">
      <c r="A334" s="14">
        <v>6700</v>
      </c>
      <c r="B334" s="14" t="s">
        <v>275</v>
      </c>
    </row>
    <row r="335" spans="1:2">
      <c r="A335" s="14">
        <v>6820</v>
      </c>
      <c r="B335" s="14" t="s">
        <v>278</v>
      </c>
    </row>
    <row r="336" spans="1:2">
      <c r="A336" s="14">
        <v>6821</v>
      </c>
      <c r="B336" s="14" t="s">
        <v>279</v>
      </c>
    </row>
    <row r="337" spans="1:2">
      <c r="A337" s="14">
        <v>6823</v>
      </c>
      <c r="B337" s="14" t="s">
        <v>280</v>
      </c>
    </row>
    <row r="338" spans="1:2">
      <c r="A338" s="14">
        <v>6824</v>
      </c>
      <c r="B338" s="14" t="s">
        <v>281</v>
      </c>
    </row>
    <row r="339" spans="1:2">
      <c r="A339" s="14">
        <v>6899</v>
      </c>
      <c r="B339" s="14" t="s">
        <v>282</v>
      </c>
    </row>
    <row r="340" spans="1:2">
      <c r="A340" s="14">
        <v>6900</v>
      </c>
      <c r="B340" s="14" t="s">
        <v>285</v>
      </c>
    </row>
    <row r="341" spans="1:2">
      <c r="A341" s="14">
        <v>6901</v>
      </c>
      <c r="B341" s="14" t="s">
        <v>286</v>
      </c>
    </row>
    <row r="342" spans="1:2">
      <c r="A342" s="14">
        <v>6940</v>
      </c>
      <c r="B342" s="14" t="s">
        <v>287</v>
      </c>
    </row>
    <row r="343" spans="1:2">
      <c r="A343" s="14">
        <v>6945</v>
      </c>
      <c r="B343" s="14" t="s">
        <v>288</v>
      </c>
    </row>
    <row r="344" spans="1:2">
      <c r="A344" s="14">
        <v>6949</v>
      </c>
      <c r="B344" s="14" t="s">
        <v>289</v>
      </c>
    </row>
    <row r="345" spans="1:2">
      <c r="A345" s="14">
        <v>6950</v>
      </c>
      <c r="B345" s="14" t="s">
        <v>291</v>
      </c>
    </row>
    <row r="346" spans="1:2">
      <c r="A346" s="14">
        <v>6990</v>
      </c>
      <c r="B346" s="14" t="s">
        <v>292</v>
      </c>
    </row>
    <row r="347" spans="1:2">
      <c r="A347" s="14">
        <v>6999</v>
      </c>
      <c r="B347" s="14" t="s">
        <v>293</v>
      </c>
    </row>
    <row r="348" spans="1:2">
      <c r="A348" s="14">
        <v>7000</v>
      </c>
      <c r="B348" s="14" t="s">
        <v>297</v>
      </c>
    </row>
    <row r="349" spans="1:2">
      <c r="A349" s="14">
        <v>8000</v>
      </c>
      <c r="B349" s="14" t="s">
        <v>300</v>
      </c>
    </row>
    <row r="350" spans="1:2">
      <c r="A350" s="14">
        <v>8100</v>
      </c>
      <c r="B350" s="14" t="s">
        <v>301</v>
      </c>
    </row>
    <row r="351" spans="1:2">
      <c r="A351" s="14">
        <v>8500</v>
      </c>
      <c r="B351" s="14" t="s">
        <v>304</v>
      </c>
    </row>
    <row r="352" spans="1:2">
      <c r="A352" s="14">
        <v>8501</v>
      </c>
      <c r="B352" s="14" t="s">
        <v>305</v>
      </c>
    </row>
    <row r="353" spans="1:2">
      <c r="A353" s="14">
        <v>8502</v>
      </c>
      <c r="B353" s="14" t="s">
        <v>306</v>
      </c>
    </row>
    <row r="354" spans="1:2">
      <c r="A354" s="14">
        <v>8600</v>
      </c>
      <c r="B354" s="14" t="s">
        <v>308</v>
      </c>
    </row>
    <row r="355" spans="1:2">
      <c r="A355" s="14">
        <v>8610</v>
      </c>
      <c r="B355" s="14" t="s">
        <v>309</v>
      </c>
    </row>
    <row r="356" spans="1:2">
      <c r="A356" s="14">
        <v>8709</v>
      </c>
      <c r="B356" s="14" t="s">
        <v>311</v>
      </c>
    </row>
    <row r="357" spans="1:2">
      <c r="A357" s="14">
        <v>8719</v>
      </c>
      <c r="B357" s="14" t="s">
        <v>312</v>
      </c>
    </row>
    <row r="358" spans="1:2">
      <c r="A358" s="14">
        <v>8900</v>
      </c>
      <c r="B358" s="14" t="s">
        <v>314</v>
      </c>
    </row>
    <row r="359" spans="1:2">
      <c r="A359" s="14">
        <v>8901</v>
      </c>
      <c r="B359" s="14" t="s">
        <v>315</v>
      </c>
    </row>
    <row r="360" spans="1:2">
      <c r="A360" s="14">
        <v>8902</v>
      </c>
      <c r="B360" s="14" t="s">
        <v>316</v>
      </c>
    </row>
    <row r="361" spans="1:2">
      <c r="A361" s="14">
        <v>9000</v>
      </c>
      <c r="B361" s="14" t="s">
        <v>318</v>
      </c>
    </row>
    <row r="362" spans="1:2">
      <c r="A362" s="14">
        <v>9100</v>
      </c>
      <c r="B362" s="14" t="s">
        <v>319</v>
      </c>
    </row>
    <row r="363" spans="1:2">
      <c r="A363" s="14">
        <v>9101</v>
      </c>
      <c r="B363" s="14" t="s">
        <v>320</v>
      </c>
    </row>
    <row r="364" spans="1:2">
      <c r="A364" s="14">
        <v>9200</v>
      </c>
      <c r="B364" s="14" t="s">
        <v>99</v>
      </c>
    </row>
    <row r="365" spans="1:2">
      <c r="A365" s="14">
        <v>9900</v>
      </c>
      <c r="B365" s="14" t="s">
        <v>324</v>
      </c>
    </row>
    <row r="366" spans="1:2">
      <c r="A366" s="14">
        <v>9901</v>
      </c>
      <c r="B366" s="14" t="s">
        <v>321</v>
      </c>
    </row>
  </sheetData>
  <autoFilter ref="A1:B1" xr:uid="{F74AC919-3654-4C54-AE37-0E47A15CFFD9}">
    <sortState xmlns:xlrd2="http://schemas.microsoft.com/office/spreadsheetml/2017/richdata2" ref="A2:B366">
      <sortCondition ref="A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DEF3-9A9E-4FB4-A542-3323E883AAD3}">
  <sheetPr>
    <pageSetUpPr fitToPage="1"/>
  </sheetPr>
  <dimension ref="A5:H59"/>
  <sheetViews>
    <sheetView topLeftCell="A19" workbookViewId="0">
      <selection activeCell="E43" sqref="E43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408</v>
      </c>
      <c r="D6" s="3" t="s">
        <v>502</v>
      </c>
      <c r="E6" s="1"/>
      <c r="G6" s="109">
        <f>MONTH(C6&amp;1)</f>
        <v>3</v>
      </c>
      <c r="H6" s="110">
        <f>+G6+1</f>
        <v>4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457</v>
      </c>
      <c r="D10" s="7">
        <f ca="1">VLOOKUP(A10,'Salaires bruts'!$C$19:$P$25,$H$6,FALSE)</f>
        <v>11983.35</v>
      </c>
      <c r="E10" s="8"/>
      <c r="G10" t="s">
        <v>372</v>
      </c>
      <c r="H10" s="40">
        <f ca="1">SUM(D10:D14)</f>
        <v>56858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457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bruts'!C25:O25,'Mars 2025'!$H$6,FALSE)</f>
        <v>56858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457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457</v>
      </c>
      <c r="D13" s="7">
        <f ca="1">VLOOKUP(A13,'Salaires bruts'!$C$19:$P$25,$H$6,FALSE)</f>
        <v>2875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457</v>
      </c>
      <c r="D14" s="7">
        <f ca="1">VLOOKUP(A14,'Salaires bruts'!$C$19:$P$25,$H$6,FALSE)</f>
        <v>10000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VLOOKUP(G17,Primes!$C$25:$O$25,'Mars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458</v>
      </c>
      <c r="D22" s="8">
        <f ca="1">VLOOKUP(A22,'AVS AC PP'!$C$25:$O$29,'Mars 2025'!$H$6,FALSE)</f>
        <v>1082.5</v>
      </c>
      <c r="G22" t="s">
        <v>352</v>
      </c>
      <c r="H22" s="40">
        <f ca="1">SUM(D22:D25)</f>
        <v>4890.1500000000005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458</v>
      </c>
      <c r="D23" s="8">
        <f ca="1">VLOOKUP(A23,'AVS AC PP'!$C$25:$O$29,'Mars 2025'!$H$6,FALSE)</f>
        <v>557.10000000000014</v>
      </c>
      <c r="G23" t="s">
        <v>406</v>
      </c>
      <c r="H23" s="40">
        <f ca="1">VLOOKUP(G23,'AVS AC PP'!$C$30:$O$30,'Mars 2025'!$H$6,FALSE)</f>
        <v>4890.1500000000005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458</v>
      </c>
      <c r="D24" s="8">
        <f ca="1">VLOOKUP(A24,'AVS AC PP'!$C$25:$O$29,'Mars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458</v>
      </c>
      <c r="D25" s="8">
        <f ca="1">VLOOKUP(A25,'AVS AC PP'!$C$25:$O$29,'Mars 2025'!$H$6,FALSE)</f>
        <v>929.25000000000011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459</v>
      </c>
      <c r="D27" s="8">
        <f ca="1">VLOOKUP(A27,'AANP - LAA PP'!$C$20:$P$24,$H$6,FALSE)</f>
        <v>72.7</v>
      </c>
      <c r="G27" t="s">
        <v>369</v>
      </c>
      <c r="H27" s="40">
        <f ca="1">SUM(D27:D30)</f>
        <v>359.55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459</v>
      </c>
      <c r="D28" s="8">
        <f ca="1">VLOOKUP(A28,'AANP - LAA PP'!$C$20:$P$24,$H$6,FALSE)</f>
        <v>37.4</v>
      </c>
      <c r="G28" t="s">
        <v>406</v>
      </c>
      <c r="H28" s="40">
        <f ca="1">VLOOKUP(G28,'AANP - LAA PP'!$C$25:$O$25,'Mars 2025'!$H$6,FALSE)</f>
        <v>359.55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459</v>
      </c>
      <c r="D29" s="8">
        <f ca="1">VLOOKUP(A29,'AANP - LAA PP'!$C$20:$P$24,$H$6,FALSE)</f>
        <v>180.14999999999998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459</v>
      </c>
      <c r="D30" s="8">
        <f ca="1">VLOOKUP(A30,'AANP - LAA PP'!$C$20:$P$24,$H$6,FALSE)</f>
        <v>69.300000000000011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460</v>
      </c>
      <c r="D32" s="8">
        <f ca="1">VLOOKUP(A32,IJM!$C$20:$P$24,$H$6,FALSE)</f>
        <v>49.150000000000006</v>
      </c>
      <c r="G32" t="s">
        <v>368</v>
      </c>
      <c r="H32" s="40">
        <f ca="1">SUM(D32:D35)</f>
        <v>269.2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460</v>
      </c>
      <c r="D33" s="8">
        <f ca="1">VLOOKUP(A33,IJM!$C$20:$P$24,$H$6,FALSE)</f>
        <v>25.3</v>
      </c>
      <c r="G33" t="s">
        <v>406</v>
      </c>
      <c r="H33" s="40">
        <f ca="1">VLOOKUP(G33,IJM!$C$25:$O$25,'Mars 2025'!$H$6,FALSE)</f>
        <v>269.2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460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460</v>
      </c>
      <c r="D35" s="8">
        <f ca="1">VLOOKUP(A35,IJM!$C$20:$P$24,$H$6,FALSE)</f>
        <v>41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461</v>
      </c>
      <c r="D37" s="7">
        <f ca="1">VLOOKUP(A37,'LPP part patronale'!$C$20:$O$24,'Mars 2025'!$H$6,FALSE)</f>
        <v>678.2</v>
      </c>
      <c r="G37" t="s">
        <v>362</v>
      </c>
      <c r="H37" s="40">
        <f ca="1">SUM(D37:D41)</f>
        <v>3113.8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461</v>
      </c>
      <c r="D38" s="7">
        <f ca="1">VLOOKUP(A38,'LPP part patronale'!$C$20:$O$24,'Mars 2025'!$H$6,FALSE)</f>
        <v>226.79999999999998</v>
      </c>
      <c r="G38" t="s">
        <v>406</v>
      </c>
      <c r="H38" s="40">
        <f ca="1">VLOOKUP(G38,'LPP part patronale'!$C$25:$O$25,'Mars 2025'!$H$6,FALSE)</f>
        <v>3113.8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461</v>
      </c>
      <c r="D39" s="7">
        <f ca="1">VLOOKUP(A39,'LPP part patronale'!$C$20:$O$24,'Mars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461</v>
      </c>
      <c r="D40" s="7">
        <f ca="1">VLOOKUP(A40,'LPP part patronale'!$C$20:$O$24,'Mars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461</v>
      </c>
      <c r="D41" s="7">
        <f ca="1">VLOOKUP(A41,'LPP part patronale'!$C$20:$O$24,'Mars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462</v>
      </c>
      <c r="D43" s="66"/>
      <c r="E43" s="8">
        <f ca="1">VLOOKUP(A43,'AVS AC employés'!$D$41:$P$41,'Mars 2025'!$H$6,FALSE)+SUM(D22:D25)</f>
        <v>8375.7000000000007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462</v>
      </c>
      <c r="D44" s="7"/>
      <c r="E44" s="8">
        <f ca="1">VLOOKUP(A44,'AANP - LAA'!$C$30:$O$30,'Mars 2025'!$H$6,FALSE)+SUM(D27:D30)</f>
        <v>683.75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462</v>
      </c>
      <c r="D45" s="7"/>
      <c r="E45" s="8">
        <f ca="1">VLOOKUP(A45,IJM!$C$30:$O$30,'Mars 2025'!$H$6,FALSE)+SUM(D32:D35)</f>
        <v>538.4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462</v>
      </c>
      <c r="D46" s="7"/>
      <c r="E46" s="8">
        <f ca="1">SUM(D37:D41)*2</f>
        <v>6227.6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462</v>
      </c>
      <c r="D47" s="7"/>
      <c r="E47" s="8">
        <f>VLOOKUP(A47,'IS '!$B$13:$N$14,'Mars 2025'!$H$6,FALSE)</f>
        <v>6679.8269999999993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'!$B$13:$N$14,'Mars 2025'!$H$6,FALSE)</f>
        <v>136.32299999999998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VLOOKUP(A50,Parking!$C$16:$O$16,'Mars 2025'!$H$6,FALSE)</f>
        <v>400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VLOOKUP(A52,URSSAF!$C$16:$O$16,'Mars 2025'!$H$6,FALSE)</f>
        <v>608.4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1827.85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463</v>
      </c>
      <c r="D55" s="7"/>
      <c r="E55" s="8">
        <f ca="1">SUM(D10:D54)-SUM(E10:E54)</f>
        <v>40012.850000000006</v>
      </c>
      <c r="G55" s="116">
        <v>40012.85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65490.700000000012</v>
      </c>
      <c r="E58" s="13">
        <f ca="1">SUM(E9:E57)</f>
        <v>65490.700000000012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132F-0E7C-435C-A97E-FB1011C77A43}">
  <sheetPr>
    <pageSetUpPr fitToPage="1"/>
  </sheetPr>
  <dimension ref="A5:H59"/>
  <sheetViews>
    <sheetView topLeftCell="A28" workbookViewId="0">
      <selection activeCell="H29" sqref="H29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409</v>
      </c>
      <c r="D6" s="3" t="s">
        <v>502</v>
      </c>
      <c r="E6" s="1"/>
      <c r="G6" s="109">
        <f>MONTH(C6&amp;1)</f>
        <v>4</v>
      </c>
      <c r="H6" s="110">
        <f>+G6+1</f>
        <v>5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450</v>
      </c>
      <c r="D10" s="7">
        <f ca="1">VLOOKUP(A10,'Salaires bruts'!$C$19:$P$25,$H$6,FALSE)</f>
        <v>11983.35</v>
      </c>
      <c r="E10" s="8"/>
      <c r="G10" t="s">
        <v>372</v>
      </c>
      <c r="H10" s="40">
        <f ca="1">SUM(D10:D14)</f>
        <v>53983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450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bruts'!C25:O25,'Avril 2025'!$H$6,FALSE)</f>
        <v>53983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450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 ht="14.25" customHeight="1">
      <c r="A13" s="5">
        <v>5012</v>
      </c>
      <c r="B13" s="6" t="str">
        <f>VLOOKUP(A13,'Tables comptes'!$A:$B,2,FALSE)</f>
        <v>Salaires, personnel dirigeant FR</v>
      </c>
      <c r="C13" s="6" t="s">
        <v>450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450</v>
      </c>
      <c r="D14" s="7">
        <f ca="1">VLOOKUP(A14,'Salaires bruts'!$C$19:$P$25,$H$6,FALSE)</f>
        <v>10000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VLOOKUP(G17,Primes!$C$25:$O$25,'Avril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451</v>
      </c>
      <c r="D22" s="8">
        <f ca="1">VLOOKUP(A22,'AVS AC PP'!$C$25:$O$29,'Avril 2025'!$H$6,FALSE)</f>
        <v>1082.55</v>
      </c>
      <c r="G22" t="s">
        <v>352</v>
      </c>
      <c r="H22" s="40">
        <f ca="1">SUM(D22:D25)</f>
        <v>4890.2000000000007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451</v>
      </c>
      <c r="D23" s="8">
        <f ca="1">VLOOKUP(A23,'AVS AC PP'!$C$25:$O$29,'Avril 2025'!$H$6,FALSE)</f>
        <v>557.10000000000014</v>
      </c>
      <c r="G23" t="s">
        <v>406</v>
      </c>
      <c r="H23" s="40">
        <f ca="1">VLOOKUP(G23,'AVS AC PP'!$C$30:$O$30,'Avril 2025'!$H$6,FALSE)</f>
        <v>4890.2000000000007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451</v>
      </c>
      <c r="D24" s="8">
        <f ca="1">VLOOKUP(A24,'AVS AC PP'!$C$25:$O$29,'Avril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451</v>
      </c>
      <c r="D25" s="8">
        <f ca="1">VLOOKUP(A25,'AVS AC PP'!$C$25:$O$29,'Avril 2025'!$H$6,FALSE)</f>
        <v>929.25000000000011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452</v>
      </c>
      <c r="D27" s="8">
        <f ca="1">VLOOKUP(A27,'AANP - LAA PP'!$C$20:$P$24,$H$6,FALSE)</f>
        <v>72.7</v>
      </c>
      <c r="G27" t="s">
        <v>369</v>
      </c>
      <c r="H27" s="40">
        <f ca="1">SUM(D27:D30)</f>
        <v>359.6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452</v>
      </c>
      <c r="D28" s="8">
        <f ca="1">VLOOKUP(A28,'AANP - LAA PP'!$C$20:$P$24,$H$6,FALSE)</f>
        <v>37.4</v>
      </c>
      <c r="G28" t="s">
        <v>406</v>
      </c>
      <c r="H28" s="40">
        <f ca="1">VLOOKUP(G28,'AANP - LAA PP'!$C$25:$O$25,'Avril 2025'!$H$6,FALSE)</f>
        <v>359.6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452</v>
      </c>
      <c r="D29" s="8">
        <f ca="1">VLOOKUP(A29,'AANP - LAA PP'!$C$20:$P$24,$H$6,FALSE)</f>
        <v>180.14999999999998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452</v>
      </c>
      <c r="D30" s="8">
        <f ca="1">VLOOKUP(A30,'AANP - LAA PP'!$C$20:$P$24,$H$6,FALSE)</f>
        <v>69.350000000000009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453</v>
      </c>
      <c r="D32" s="8">
        <f ca="1">VLOOKUP(A32,IJM!$C$20:$P$24,$H$6,FALSE)</f>
        <v>49.1</v>
      </c>
      <c r="G32" t="s">
        <v>368</v>
      </c>
      <c r="H32" s="40">
        <f ca="1">SUM(D32:D35)</f>
        <v>269.14999999999998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453</v>
      </c>
      <c r="D33" s="8">
        <f ca="1">VLOOKUP(A33,IJM!$C$20:$P$24,$H$6,FALSE)</f>
        <v>25.3</v>
      </c>
      <c r="G33" t="s">
        <v>406</v>
      </c>
      <c r="H33" s="40">
        <f ca="1">VLOOKUP(G33,IJM!$C$25:$O$25,'Avril 2025'!$H$6,FALSE)</f>
        <v>269.14999999999998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453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453</v>
      </c>
      <c r="D35" s="8">
        <f ca="1">VLOOKUP(A35,IJM!$C$20:$P$24,$H$6,FALSE)</f>
        <v>41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454</v>
      </c>
      <c r="D37" s="7">
        <f ca="1">VLOOKUP(A37,'LPP part patronale'!$C$20:$O$24,'Avril 2025'!$H$6,FALSE)</f>
        <v>678.2</v>
      </c>
      <c r="G37" t="s">
        <v>362</v>
      </c>
      <c r="H37" s="40">
        <f ca="1">SUM(D37:D41)</f>
        <v>3126.6000000000004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454</v>
      </c>
      <c r="D38" s="7">
        <f ca="1">VLOOKUP(A38,'LPP part patronale'!$C$20:$O$24,'Avril 2025'!$H$6,FALSE)</f>
        <v>239.6</v>
      </c>
      <c r="G38" t="s">
        <v>406</v>
      </c>
      <c r="H38" s="40">
        <f ca="1">VLOOKUP(G38,'LPP part patronale'!$C$25:$O$25,'Avril 2025'!$H$6,FALSE)</f>
        <v>3126.6000000000004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454</v>
      </c>
      <c r="D39" s="7">
        <f ca="1">VLOOKUP(A39,'LPP part patronale'!$C$20:$O$24,'Avril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454</v>
      </c>
      <c r="D40" s="7">
        <f ca="1">VLOOKUP(A40,'LPP part patronale'!$C$20:$O$24,'Avril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454</v>
      </c>
      <c r="D41" s="7">
        <f ca="1">VLOOKUP(A41,'LPP part patronale'!$C$20:$O$24,'Avril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455</v>
      </c>
      <c r="D43" s="66"/>
      <c r="E43" s="8">
        <f ca="1">VLOOKUP(A43,'AVS AC employés'!$D$41:$P$41,'Avril 2025'!$H$6,FALSE)+SUM(D22:D25)</f>
        <v>8375.75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455</v>
      </c>
      <c r="D44" s="7"/>
      <c r="E44" s="8">
        <f ca="1">VLOOKUP(A44,'AANP - LAA'!$C$30:$O$30,'Avril 2025'!$H$6,FALSE)+SUM(D27:D30)</f>
        <v>683.90000000000009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455</v>
      </c>
      <c r="D45" s="7"/>
      <c r="E45" s="8">
        <f ca="1">VLOOKUP(A45,IJM!$C$30:$O$30,'Avril 2025'!$H$6,FALSE)+SUM(D32:D35)</f>
        <v>538.29999999999995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455</v>
      </c>
      <c r="D46" s="7"/>
      <c r="E46" s="8">
        <f ca="1">SUM(D37:D41)*2</f>
        <v>6253.2000000000007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455</v>
      </c>
      <c r="D47" s="7"/>
      <c r="E47" s="8">
        <f>VLOOKUP(A47,'IS '!$B$13:$N$14,'Avril 2025'!$H$6,FALSE)</f>
        <v>6249.8519999999999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'!$B$13:$N$14,'Avril 2025'!$H$6,FALSE)</f>
        <v>127.54799999999999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VLOOKUP(A50,Parking!$C$16:$O$16,'Avril 2025'!$H$6,FALSE)</f>
        <v>400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VLOOKUP(A52,URSSAF!$C$16:$O$16,'Avril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456</v>
      </c>
      <c r="D55" s="7"/>
      <c r="E55" s="8">
        <f ca="1">SUM(D10:D54)-SUM(E10:E54)</f>
        <v>40000</v>
      </c>
      <c r="G55" s="116">
        <v>40000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62628.55</v>
      </c>
      <c r="E58" s="13">
        <f ca="1">SUM(E9:E57)</f>
        <v>62628.55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2FDB-3C91-4EF9-9481-80AEA8B41303}">
  <sheetPr>
    <pageSetUpPr fitToPage="1"/>
  </sheetPr>
  <dimension ref="A5:H59"/>
  <sheetViews>
    <sheetView topLeftCell="A25" workbookViewId="0">
      <selection activeCell="G45" sqref="G45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410</v>
      </c>
      <c r="D6" s="3" t="s">
        <v>502</v>
      </c>
      <c r="E6" s="1"/>
      <c r="G6" s="109">
        <f>MONTH(C6&amp;1)</f>
        <v>5</v>
      </c>
      <c r="H6" s="110">
        <f>+G6+1</f>
        <v>6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443</v>
      </c>
      <c r="D10" s="7">
        <f ca="1">VLOOKUP(A10,'Salaires bruts'!$C$19:$P$25,$H$6,FALSE)</f>
        <v>11983.35</v>
      </c>
      <c r="E10" s="8"/>
      <c r="G10" t="s">
        <v>372</v>
      </c>
      <c r="H10" s="40">
        <f ca="1">SUM(D10:D14)</f>
        <v>53983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443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bruts'!C25:O25,'Mai 2025'!$H$6,FALSE)</f>
        <v>53983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443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443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443</v>
      </c>
      <c r="D14" s="7">
        <f ca="1">VLOOKUP(A14,'Salaires bruts'!$C$19:$P$25,$H$6,FALSE)</f>
        <v>10000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VLOOKUP(G17,Primes!$C$25:$O$25,'Mai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444</v>
      </c>
      <c r="D22" s="8">
        <f ca="1">VLOOKUP(A22,'AVS AC PP'!$C$25:$O$29,'Mai 2025'!$H$6,FALSE)</f>
        <v>1082.55</v>
      </c>
      <c r="G22" t="s">
        <v>352</v>
      </c>
      <c r="H22" s="40">
        <f ca="1">SUM(D22:D25)</f>
        <v>4890.2000000000007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444</v>
      </c>
      <c r="D23" s="8">
        <f ca="1">VLOOKUP(A23,'AVS AC PP'!$C$25:$O$29,'Mai 2025'!$H$6,FALSE)</f>
        <v>557.10000000000014</v>
      </c>
      <c r="G23" t="s">
        <v>406</v>
      </c>
      <c r="H23" s="40">
        <f ca="1">VLOOKUP(G23,'AVS AC PP'!$C$30:$O$30,'Mai 2025'!$H$6,FALSE)</f>
        <v>4890.2000000000007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444</v>
      </c>
      <c r="D24" s="8">
        <f ca="1">VLOOKUP(A24,'AVS AC PP'!$C$25:$O$29,'Mai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444</v>
      </c>
      <c r="D25" s="8">
        <f ca="1">VLOOKUP(A25,'AVS AC PP'!$C$25:$O$29,'Mai 2025'!$H$6,FALSE)</f>
        <v>929.25000000000011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445</v>
      </c>
      <c r="D27" s="8">
        <f ca="1">VLOOKUP(A27,'AANP - LAA'!$C$20:$P$24,$H$6,FALSE)</f>
        <v>65.05</v>
      </c>
      <c r="G27" t="s">
        <v>369</v>
      </c>
      <c r="H27" s="40">
        <f ca="1">SUM(D27:D30)</f>
        <v>324.20000000000005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445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LAA'!$C$25:$O$25,'Mai 2025'!$H$6,FALSE)</f>
        <v>324.20000000000005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445</v>
      </c>
      <c r="D29" s="8">
        <f ca="1">VLOOKUP(A29,'AANP - LAA'!$C$20:$P$24,$H$6,FALSE)</f>
        <v>164.35000000000002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445</v>
      </c>
      <c r="D30" s="8">
        <f ca="1">VLOOKUP(A30,'AANP - LAA'!$C$20:$P$24,$H$6,FALSE)</f>
        <v>61.35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446</v>
      </c>
      <c r="D32" s="8">
        <f ca="1">VLOOKUP(A32,IJM!$C$20:$P$24,$H$6,FALSE)</f>
        <v>49.1</v>
      </c>
      <c r="G32" t="s">
        <v>368</v>
      </c>
      <c r="H32" s="40">
        <f ca="1">SUM(D32:D35)</f>
        <v>269.14999999999998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446</v>
      </c>
      <c r="D33" s="8">
        <f ca="1">VLOOKUP(A33,IJM!$C$20:$P$24,$H$6,FALSE)</f>
        <v>25.3</v>
      </c>
      <c r="G33" t="s">
        <v>406</v>
      </c>
      <c r="H33" s="40">
        <f ca="1">VLOOKUP(G33,IJM!$C$25:$O$25,'Mai 2025'!$H$6,FALSE)</f>
        <v>269.14999999999998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446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446</v>
      </c>
      <c r="D35" s="8">
        <f ca="1">VLOOKUP(A35,IJM!$C$20:$P$24,$H$6,FALSE)</f>
        <v>41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447</v>
      </c>
      <c r="D37" s="7">
        <f ca="1">VLOOKUP(A37,'LPP part patronale'!$C$20:$O$24,'Mai 2025'!$H$6,FALSE)</f>
        <v>678.2</v>
      </c>
      <c r="G37" t="s">
        <v>362</v>
      </c>
      <c r="H37" s="40">
        <f ca="1">SUM(D37:D41)</f>
        <v>3126.6000000000004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447</v>
      </c>
      <c r="D38" s="7">
        <f ca="1">VLOOKUP(A38,'LPP part patronale'!$C$20:$O$24,'Mai 2025'!$H$6,FALSE)</f>
        <v>239.6</v>
      </c>
      <c r="G38" t="s">
        <v>406</v>
      </c>
      <c r="H38" s="40">
        <f ca="1">VLOOKUP(G38,'LPP part patronale'!$C$25:$O$25,'Mai 2025'!$H$6,FALSE)</f>
        <v>3126.6000000000004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447</v>
      </c>
      <c r="D39" s="7">
        <f ca="1">VLOOKUP(A39,'LPP part patronale'!$C$20:$O$24,'Mai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447</v>
      </c>
      <c r="D40" s="7">
        <f ca="1">VLOOKUP(A40,'LPP part patronale'!$C$20:$O$24,'Mai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447</v>
      </c>
      <c r="D41" s="7">
        <f ca="1">VLOOKUP(A41,'LPP part patronale'!$C$20:$O$24,'Mai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448</v>
      </c>
      <c r="D43" s="66"/>
      <c r="E43" s="8">
        <f ca="1">VLOOKUP(A43,'AVS AC employés'!$D$41:$P$41,'Mai 2025'!$H$6,FALSE)+SUM(D22:D25)</f>
        <v>8375.75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448</v>
      </c>
      <c r="D44" s="7"/>
      <c r="E44" s="8">
        <f ca="1">VLOOKUP(A44,'AANP - LAA'!$C$30:$O$30,'Mai 2025'!$H$6,FALSE)+SUM(D27:D30)</f>
        <v>648.40000000000009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448</v>
      </c>
      <c r="D45" s="7"/>
      <c r="E45" s="8">
        <f ca="1">VLOOKUP(A45,IJM!$C$30:$O$30,'Mai 2025'!$H$6,FALSE)+SUM(D32:D35)</f>
        <v>538.29999999999995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448</v>
      </c>
      <c r="D46" s="7"/>
      <c r="E46" s="8">
        <f ca="1">SUM(D37:D41)*2</f>
        <v>6253.2000000000007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448</v>
      </c>
      <c r="D47" s="7"/>
      <c r="E47" s="8">
        <f>VLOOKUP(A47,'IS '!$B$13:$N$14,'Mai 2025'!$H$6,FALSE)</f>
        <v>6237.0629999999992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'!$B$13:$N$14,'Mai 2025'!$H$6,FALSE)</f>
        <v>127.28699999999999</v>
      </c>
    </row>
    <row r="49" spans="1:8" ht="14.25" customHeight="1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VLOOKUP(A50,Parking!$C$16:$O$16,'Mai 2025'!$H$6,FALSE)</f>
        <v>400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VLOOKUP(A52,URSSAF!$C$16:$O$16,'Mai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449</v>
      </c>
      <c r="D55" s="7"/>
      <c r="E55" s="8">
        <f ca="1">SUM(D10:D54)-SUM(E10:E54)</f>
        <v>40013.15</v>
      </c>
      <c r="G55" s="116">
        <v>40013.15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62593.15</v>
      </c>
      <c r="E58" s="13">
        <f ca="1">SUM(E9:E57)</f>
        <v>62593.15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ED5E-623E-4F4D-B6DF-A3DEF88C1B39}">
  <sheetPr>
    <pageSetUpPr fitToPage="1"/>
  </sheetPr>
  <dimension ref="A5:H59"/>
  <sheetViews>
    <sheetView topLeftCell="A37" zoomScaleNormal="100" workbookViewId="0">
      <selection activeCell="K46" sqref="K45:K46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411</v>
      </c>
      <c r="D6" s="3" t="s">
        <v>502</v>
      </c>
      <c r="E6" s="1"/>
      <c r="G6" s="109">
        <f>MONTH(C6&amp;1)</f>
        <v>6</v>
      </c>
      <c r="H6" s="110">
        <f>+G6+1</f>
        <v>7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436</v>
      </c>
      <c r="D10" s="7">
        <f ca="1">VLOOKUP(A10,'Salaires bruts'!$C$19:$P$25,$H$6,FALSE)</f>
        <v>11459.55</v>
      </c>
      <c r="E10" s="8"/>
      <c r="G10" t="s">
        <v>372</v>
      </c>
      <c r="H10" s="40">
        <f ca="1">SUM(D10:D14)</f>
        <v>61792.549999999996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436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bruts'!C25:O25,'Juin 2025'!$H$6,FALSE)</f>
        <v>61792.549999999996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436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436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436</v>
      </c>
      <c r="D14" s="7">
        <f ca="1">VLOOKUP(A14,'Salaires bruts'!$C$19:$P$25,$H$6,FALSE)</f>
        <v>18333.349999999999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VLOOKUP(G17,Primes!$C$25:$O$25,'Juin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437</v>
      </c>
      <c r="D22" s="8">
        <f ca="1">VLOOKUP(A22,'AVS AC PP'!$C$25:$O$29,'Juin 2025'!$H$6,FALSE)</f>
        <v>1035.25</v>
      </c>
      <c r="G22" t="s">
        <v>352</v>
      </c>
      <c r="H22" s="40">
        <f ca="1">SUM(D22:D25)</f>
        <v>5595.7000000000007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437</v>
      </c>
      <c r="D23" s="8">
        <f ca="1">VLOOKUP(A23,'AVS AC PP'!$C$25:$O$29,'Juin 2025'!$H$6,FALSE)</f>
        <v>557.10000000000014</v>
      </c>
      <c r="G23" t="s">
        <v>406</v>
      </c>
      <c r="H23" s="40">
        <f ca="1">VLOOKUP(G23,'AVS AC PP'!$C$30:$O$30,'Juin 2025'!$H$6,FALSE)</f>
        <v>5595.7000000000007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437</v>
      </c>
      <c r="D24" s="8">
        <f ca="1">VLOOKUP(A24,'AVS AC PP'!$C$25:$O$29,'Juin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437</v>
      </c>
      <c r="D25" s="8">
        <f ca="1">VLOOKUP(A25,'AVS AC PP'!$C$25:$O$29,'Juin 2025'!$H$6,FALSE)</f>
        <v>1682.0500000000002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438</v>
      </c>
      <c r="D27" s="8">
        <f ca="1">VLOOKUP(A27,'AANP - LAA'!$C$20:$P$24,$H$6,FALSE)</f>
        <v>62.099999999999994</v>
      </c>
      <c r="G27" t="s">
        <v>369</v>
      </c>
      <c r="H27" s="40">
        <f ca="1">SUM(D27:D30)</f>
        <v>366.45000000000005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438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LAA'!$C$25:$O$25,'Juin 2025'!$H$6,FALSE)</f>
        <v>366.45000000000005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438</v>
      </c>
      <c r="D29" s="8">
        <f ca="1">VLOOKUP(A29,'AANP - LAA'!$C$20:$P$24,$H$6,FALSE)</f>
        <v>164.35000000000002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438</v>
      </c>
      <c r="D30" s="8">
        <f ca="1">VLOOKUP(A30,'AANP - LAA'!$C$20:$P$24,$H$6,FALSE)</f>
        <v>106.55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439</v>
      </c>
      <c r="D32" s="8">
        <f ca="1">VLOOKUP(A32,IJM!$C$20:$P$24,$H$6,FALSE)</f>
        <v>47.000000000000007</v>
      </c>
      <c r="G32" t="s">
        <v>368</v>
      </c>
      <c r="H32" s="40">
        <f ca="1">SUM(D32:D35)</f>
        <v>301.20000000000005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439</v>
      </c>
      <c r="D33" s="8">
        <f ca="1">VLOOKUP(A33,IJM!$C$20:$P$24,$H$6,FALSE)</f>
        <v>25.3</v>
      </c>
      <c r="G33" t="s">
        <v>406</v>
      </c>
      <c r="H33" s="40">
        <f ca="1">VLOOKUP(G33,IJM!$C$25:$O$25,'Juin 2025'!$H$6,FALSE)</f>
        <v>301.20000000000005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439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439</v>
      </c>
      <c r="D35" s="8">
        <f ca="1">VLOOKUP(A35,IJM!$C$20:$P$24,$H$6,FALSE)</f>
        <v>75.150000000000006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440</v>
      </c>
      <c r="D37" s="7">
        <f ca="1">VLOOKUP(A37,'LPP part patronale'!$C$20:$O$24,'Juin 2025'!$H$6,FALSE)</f>
        <v>1027.5</v>
      </c>
      <c r="G37" t="s">
        <v>362</v>
      </c>
      <c r="H37" s="40">
        <f ca="1">SUM(D37:D41)</f>
        <v>3475.9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440</v>
      </c>
      <c r="D38" s="7">
        <f ca="1">VLOOKUP(A38,'LPP part patronale'!$C$20:$O$24,'Juin 2025'!$H$6,FALSE)</f>
        <v>239.6</v>
      </c>
      <c r="G38" t="s">
        <v>406</v>
      </c>
      <c r="H38" s="40">
        <f ca="1">VLOOKUP(G38,'LPP part patronale'!$C$25:$O$25,'Juin 2025'!$H$6,FALSE)</f>
        <v>3475.9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440</v>
      </c>
      <c r="D39" s="7">
        <f ca="1">VLOOKUP(A39,'LPP part patronale'!$C$20:$O$24,'Juin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440</v>
      </c>
      <c r="D40" s="7">
        <f ca="1">VLOOKUP(A40,'LPP part patronale'!$C$20:$O$24,'Juin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440</v>
      </c>
      <c r="D41" s="7">
        <f ca="1">VLOOKUP(A41,'LPP part patronale'!$C$20:$O$24,'Juin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441</v>
      </c>
      <c r="D43" s="66"/>
      <c r="E43" s="8">
        <f ca="1">VLOOKUP(A43,'AVS AC employés'!$D$41:$P$41,'Juin 2025'!$H$6,FALSE)+SUM(D22:D25)</f>
        <v>9583.5500000000011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441</v>
      </c>
      <c r="D44" s="7"/>
      <c r="E44" s="8">
        <f ca="1">VLOOKUP(A44,'AANP - LAA'!$C$30:$O$30,'Juin 2025'!$H$6,FALSE)+SUM(D27:D30)</f>
        <v>732.90000000000009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441</v>
      </c>
      <c r="D45" s="7"/>
      <c r="E45" s="8">
        <f ca="1">VLOOKUP(A45,IJM!$C$30:$O$30,'Juin 2025'!$H$6,FALSE)+SUM(D32:D35)</f>
        <v>602.40000000000009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441</v>
      </c>
      <c r="D46" s="7"/>
      <c r="E46" s="8">
        <f ca="1">SUM(D37:D41)*2</f>
        <v>6951.8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441</v>
      </c>
      <c r="D47" s="7"/>
      <c r="E47" s="8">
        <f>VLOOKUP(A47,'IS '!$B$13:$N$14,'Juin 2025'!$H$6,FALSE)</f>
        <v>7380.9680000000008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'!$B$13:$N$14,'Juin 2025'!$H$6,FALSE)</f>
        <v>150.63200000000001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VLOOKUP(A50,Parking!$C$16:$O$16,'Juin 2025'!$H$6,FALSE)</f>
        <v>400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VLOOKUP(A52,URSSAF!$C$16:$O$16,'Juin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442</v>
      </c>
      <c r="D55" s="7"/>
      <c r="E55" s="8">
        <f ca="1">SUM(D10:D54)-SUM(E10:E54)</f>
        <v>45729.55</v>
      </c>
      <c r="G55" s="116">
        <v>45729.55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71531.8</v>
      </c>
      <c r="E58" s="13">
        <f ca="1">SUM(E9:E57)</f>
        <v>71531.8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3414-BFA4-4780-BB4D-5DB9E3566472}">
  <sheetPr>
    <pageSetUpPr fitToPage="1"/>
  </sheetPr>
  <dimension ref="A5:H59"/>
  <sheetViews>
    <sheetView topLeftCell="A22" workbookViewId="0">
      <selection activeCell="D22" sqref="D22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412</v>
      </c>
      <c r="D6" s="3" t="s">
        <v>502</v>
      </c>
      <c r="E6" s="1"/>
      <c r="G6" s="109">
        <f>MONTH(C6&amp;1)</f>
        <v>7</v>
      </c>
      <c r="H6" s="110">
        <f>+G6+1</f>
        <v>8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429</v>
      </c>
      <c r="D10" s="7">
        <f ca="1">VLOOKUP(A10,'Salaires bruts'!$C$19:$P$25,$H$6,FALSE)</f>
        <v>10644.2</v>
      </c>
      <c r="E10" s="8"/>
      <c r="G10" t="s">
        <v>372</v>
      </c>
      <c r="H10" s="40">
        <f ca="1">SUM(D10:D14)</f>
        <v>60977.2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429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bruts'!C25:O25,'Juil 2025'!$H$6,FALSE)</f>
        <v>60977.2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429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429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429</v>
      </c>
      <c r="D14" s="7">
        <f ca="1">VLOOKUP(A14,'Salaires bruts'!$C$19:$P$25,$H$6,FALSE)</f>
        <v>18333.349999999999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VLOOKUP(G17,Primes!$C$25:$O$25,'Juil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430</v>
      </c>
      <c r="D22" s="8">
        <f ca="1">VLOOKUP(A22,'AVS AC PP'!$C$25:$O$29,'Juil 2025'!$H$6,FALSE)</f>
        <v>961.5</v>
      </c>
      <c r="G22" t="s">
        <v>352</v>
      </c>
      <c r="H22" s="40">
        <f ca="1">SUM(D22:D25)</f>
        <v>5521.9500000000007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430</v>
      </c>
      <c r="D23" s="8">
        <f ca="1">VLOOKUP(A23,'AVS AC PP'!$C$25:$O$29,'Juil 2025'!$H$6,FALSE)</f>
        <v>557.10000000000014</v>
      </c>
      <c r="G23" t="s">
        <v>406</v>
      </c>
      <c r="H23" s="40">
        <f ca="1">VLOOKUP(G23,'AVS AC PP'!$C$30:$O$30,'Juil 2025'!$H$6,FALSE)</f>
        <v>5521.9500000000007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430</v>
      </c>
      <c r="D24" s="8">
        <f ca="1">VLOOKUP(A24,'AVS AC PP'!$C$25:$O$29,'Juil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430</v>
      </c>
      <c r="D25" s="8">
        <f ca="1">VLOOKUP(A25,'AVS AC PP'!$C$25:$O$29,'Juil 2025'!$H$6,FALSE)</f>
        <v>1682.0500000000002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431</v>
      </c>
      <c r="D27" s="8">
        <f ca="1">VLOOKUP(A27,'AANP - LAA'!$C$20:$P$24,$H$6,FALSE)</f>
        <v>57.7</v>
      </c>
      <c r="G27" t="s">
        <v>369</v>
      </c>
      <c r="H27" s="40">
        <f ca="1">SUM(D27:D30)</f>
        <v>357.65000000000003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431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LAA'!$C$25:$O$25,'Juil 2025'!$H$6,FALSE)</f>
        <v>357.65000000000003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431</v>
      </c>
      <c r="D29" s="8">
        <f ca="1">VLOOKUP(A29,'AANP - LAA'!$C$20:$P$24,$H$6,FALSE)</f>
        <v>164.35000000000002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431</v>
      </c>
      <c r="D30" s="8">
        <f ca="1">VLOOKUP(A30,'AANP - LAA'!$C$20:$P$24,$H$6,FALSE)</f>
        <v>102.15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432</v>
      </c>
      <c r="D32" s="8">
        <f ca="1">VLOOKUP(A32,IJM!$C$20:$P$24,$H$6,FALSE)</f>
        <v>43.7</v>
      </c>
      <c r="G32" t="s">
        <v>368</v>
      </c>
      <c r="H32" s="40">
        <f ca="1">SUM(D32:D35)</f>
        <v>297.89999999999998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432</v>
      </c>
      <c r="D33" s="8">
        <f ca="1">VLOOKUP(A33,IJM!$C$20:$P$24,$H$6,FALSE)</f>
        <v>25.3</v>
      </c>
      <c r="G33" t="s">
        <v>406</v>
      </c>
      <c r="H33" s="40">
        <f ca="1">VLOOKUP(G33,IJM!$C$25:$O$25,'Juil 2025'!$H$6,FALSE)</f>
        <v>297.89999999999998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432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432</v>
      </c>
      <c r="D35" s="8">
        <f ca="1">VLOOKUP(A35,IJM!$C$20:$P$24,$H$6,FALSE)</f>
        <v>75.150000000000006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433</v>
      </c>
      <c r="D37" s="7">
        <f ca="1">VLOOKUP(A37,'LPP part patronale'!$C$20:$O$24,'Juil 2025'!$H$6,FALSE)</f>
        <v>1027.5</v>
      </c>
      <c r="G37" t="s">
        <v>362</v>
      </c>
      <c r="H37" s="40">
        <f ca="1">SUM(D37:D41)</f>
        <v>3463.1000000000004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433</v>
      </c>
      <c r="D38" s="7">
        <f ca="1">VLOOKUP(A38,'LPP part patronale'!$C$20:$O$24,'Juil 2025'!$H$6,FALSE)</f>
        <v>226.79999999999998</v>
      </c>
      <c r="G38" t="s">
        <v>406</v>
      </c>
      <c r="H38" s="40">
        <f ca="1">VLOOKUP(G38,'LPP part patronale'!$C$25:$O$25,'Juil 2025'!$H$6,FALSE)</f>
        <v>3463.1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433</v>
      </c>
      <c r="D39" s="7">
        <f ca="1">VLOOKUP(A39,'LPP part patronale'!$C$20:$O$24,'Juil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433</v>
      </c>
      <c r="D40" s="7">
        <f ca="1">VLOOKUP(A40,'LPP part patronale'!$C$20:$O$24,'Juil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433</v>
      </c>
      <c r="D41" s="7">
        <f ca="1">VLOOKUP(A41,'LPP part patronale'!$C$20:$O$24,'Juil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434</v>
      </c>
      <c r="D43" s="66"/>
      <c r="E43" s="8">
        <f ca="1">VLOOKUP(A43,'AVS AC employés'!$D$41:$P$41,'Juil 2025'!$H$6,FALSE)+SUM(D22:D25)</f>
        <v>9441.35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434</v>
      </c>
      <c r="D44" s="7"/>
      <c r="E44" s="8">
        <f ca="1">VLOOKUP(A44,'AANP - LAA'!$C$30:$O$30,'Juil 2025'!$H$6,FALSE)+SUM(D27:D30)</f>
        <v>715.30000000000007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434</v>
      </c>
      <c r="D45" s="7"/>
      <c r="E45" s="8">
        <f ca="1">VLOOKUP(A45,IJM!$C$30:$O$30,'Juil 2025'!$H$6,FALSE)+SUM(D32:D35)</f>
        <v>595.79999999999995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434</v>
      </c>
      <c r="D46" s="7"/>
      <c r="E46" s="8">
        <f ca="1">SUM(D37:D41)*2</f>
        <v>6926.2000000000007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434</v>
      </c>
      <c r="D47" s="7"/>
      <c r="E47" s="8">
        <f>VLOOKUP(A47,'IS '!$B$13:$N$14,'Juil 2025'!$H$6,FALSE)</f>
        <v>7264.8869999999997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'!$B$13:$N$14,'Juil 2025'!$H$6,FALSE)</f>
        <v>148.26300000000001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VLOOKUP(A50,Parking!$C$16:$O$16,'Juil 2025'!$H$6,FALSE)</f>
        <v>400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VLOOKUP(A52,URSSAF!$C$16:$O$16,'Juil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435</v>
      </c>
      <c r="D55" s="7"/>
      <c r="E55" s="8">
        <f ca="1">SUM(D10:D54)-SUM(E10:E54)</f>
        <v>45125.999999999971</v>
      </c>
      <c r="G55" s="116">
        <v>45126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70617.799999999974</v>
      </c>
      <c r="E58" s="13">
        <f ca="1">SUM(E9:E57)</f>
        <v>70617.799999999974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0D-D446-4837-9342-5877BC834988}">
  <sheetPr>
    <pageSetUpPr fitToPage="1"/>
  </sheetPr>
  <dimension ref="A5:K59"/>
  <sheetViews>
    <sheetView topLeftCell="A25" workbookViewId="0">
      <selection activeCell="E44" sqref="E44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413</v>
      </c>
      <c r="D6" s="3" t="s">
        <v>502</v>
      </c>
      <c r="E6" s="1"/>
      <c r="G6" s="109">
        <f>MONTH(C6&amp;1)</f>
        <v>8</v>
      </c>
      <c r="H6" s="110">
        <f>+G6+1</f>
        <v>9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422</v>
      </c>
      <c r="D10" s="7">
        <f ca="1">VLOOKUP(A10,'Salaires bruts'!$C$19:$P$25,$H$6,FALSE)</f>
        <v>9783.35</v>
      </c>
      <c r="E10" s="8"/>
      <c r="G10" t="s">
        <v>372</v>
      </c>
      <c r="H10" s="40">
        <f ca="1">SUM(D10:D14)</f>
        <v>50116.35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422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bruts'!C25:O25,'Août 2025'!$H$6,FALSE)</f>
        <v>50116.35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422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422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422</v>
      </c>
      <c r="D14" s="7">
        <f ca="1">VLOOKUP(A14,'Salaires bruts'!$C$19:$P$25,$H$6,FALSE)</f>
        <v>8333.35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VLOOKUP(G17,Primes!$C$25:$O$25,'Août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423</v>
      </c>
      <c r="D22" s="8">
        <f ca="1">VLOOKUP(A22,'AVS AC PP'!$C$25:$O$29,'Août 2025'!$H$6,FALSE)</f>
        <v>883.8</v>
      </c>
      <c r="G22" t="s">
        <v>352</v>
      </c>
      <c r="H22" s="40">
        <f ca="1">SUM(D22:D25)</f>
        <v>4515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423</v>
      </c>
      <c r="D23" s="8">
        <f ca="1">VLOOKUP(A23,'AVS AC PP'!$C$25:$O$29,'Août 2025'!$H$6,FALSE)</f>
        <v>557.10000000000014</v>
      </c>
      <c r="G23" t="s">
        <v>406</v>
      </c>
      <c r="H23" s="40">
        <f ca="1">VLOOKUP(G23,'AVS AC PP'!$C$30:$O$30,'Août 2025'!$H$6,FALSE)</f>
        <v>4515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423</v>
      </c>
      <c r="D24" s="8">
        <f ca="1">VLOOKUP(A24,'AVS AC PP'!$C$25:$O$29,'Août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423</v>
      </c>
      <c r="D25" s="8">
        <f ca="1">VLOOKUP(A25,'AVS AC PP'!$C$25:$O$29,'Août 2025'!$H$6,FALSE)</f>
        <v>752.8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424</v>
      </c>
      <c r="D27" s="8">
        <f ca="1">VLOOKUP(A27,'AANP - LAA'!$C$20:$P$24,$H$6,FALSE)</f>
        <v>53.099999999999994</v>
      </c>
      <c r="G27" t="s">
        <v>369</v>
      </c>
      <c r="H27" s="40">
        <f ca="1">SUM(D27:D30)</f>
        <v>296.10000000000002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424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LAA'!$C$25:$O$25,'Août 2025'!$H$6,FALSE)</f>
        <v>296.10000000000002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424</v>
      </c>
      <c r="D29" s="8">
        <f ca="1">VLOOKUP(A29,'AANP - LAA'!$C$20:$P$24,$H$6,FALSE)</f>
        <v>164.35000000000002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424</v>
      </c>
      <c r="D30" s="8">
        <f ca="1">VLOOKUP(A30,'AANP - LAA'!$C$20:$P$24,$H$6,FALSE)</f>
        <v>45.199999999999996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425</v>
      </c>
      <c r="D32" s="8">
        <f ca="1">VLOOKUP(A32,IJM!$C$20:$P$24,$H$6,FALSE)</f>
        <v>40.1</v>
      </c>
      <c r="G32" t="s">
        <v>368</v>
      </c>
      <c r="H32" s="40">
        <f ca="1">SUM(D32:D35)</f>
        <v>253.3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425</v>
      </c>
      <c r="D33" s="8">
        <f ca="1">VLOOKUP(A33,IJM!$C$20:$P$24,$H$6,FALSE)</f>
        <v>25.3</v>
      </c>
      <c r="G33" t="s">
        <v>406</v>
      </c>
      <c r="H33" s="40">
        <f ca="1">VLOOKUP(G33,IJM!$C$25:$O$25,'Août 2025'!$H$6,FALSE)</f>
        <v>253.3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425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425</v>
      </c>
      <c r="D35" s="8">
        <f ca="1">VLOOKUP(A35,IJM!$C$20:$P$24,$H$6,FALSE)</f>
        <v>34.15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426</v>
      </c>
      <c r="D37" s="7">
        <f ca="1">VLOOKUP(A37,'LPP part patronale'!$C$20:$O$24,'Août 2025'!$H$6,FALSE)</f>
        <v>349.3</v>
      </c>
      <c r="G37" t="s">
        <v>362</v>
      </c>
      <c r="H37" s="40">
        <f ca="1">SUM(D37:D41)</f>
        <v>2784.45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426</v>
      </c>
      <c r="D38" s="7">
        <f ca="1">VLOOKUP(A38,'LPP part patronale'!$C$20:$O$24,'Août 2025'!$H$6,FALSE)</f>
        <v>226.35</v>
      </c>
      <c r="G38" t="s">
        <v>406</v>
      </c>
      <c r="H38" s="40">
        <f ca="1">VLOOKUP(G38,'LPP part patronale'!$C$25:$O$25,'Août 2025'!$H$6,FALSE)</f>
        <v>2784.4500000000003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426</v>
      </c>
      <c r="D39" s="7">
        <f ca="1">VLOOKUP(A39,'LPP part patronale'!$C$20:$O$24,'Août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426</v>
      </c>
      <c r="D40" s="7">
        <f ca="1">VLOOKUP(A40,'LPP part patronale'!$C$20:$O$24,'Août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426</v>
      </c>
      <c r="D41" s="7">
        <f ca="1">VLOOKUP(A41,'LPP part patronale'!$C$20:$O$24,'Août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427</v>
      </c>
      <c r="D43" s="66"/>
      <c r="E43" s="8">
        <f ca="1">VLOOKUP(A43,'AVS AC employés'!$D$41:$P$41,'Août 2025'!$H$6,FALSE)+SUM(D22:D25)</f>
        <v>7725.9500000000007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427</v>
      </c>
      <c r="D44" s="7"/>
      <c r="E44" s="8">
        <f ca="1">VLOOKUP(A44,'AANP - LAA'!$C$30:$O$30,'Août 2025'!$H$6,FALSE)+SUM(D27:D30)</f>
        <v>592.20000000000005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427</v>
      </c>
      <c r="D45" s="7"/>
      <c r="E45" s="8">
        <f ca="1">VLOOKUP(A45,IJM!$C$30:$O$30,'Août 2025'!$H$6,FALSE)+SUM(D32:D35)</f>
        <v>506.6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427</v>
      </c>
      <c r="D46" s="7"/>
      <c r="E46" s="8">
        <f ca="1">SUM(D37:D41)*2</f>
        <v>5568.9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427</v>
      </c>
      <c r="D47" s="7"/>
      <c r="E47" s="8">
        <f>VLOOKUP(A47,'IS '!$B$13:$N$14,'Août 2025'!$H$6,FALSE)</f>
        <v>7252.6369999999997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'!$B$13:$N$14,'Août 2025'!$H$6,FALSE)</f>
        <v>148.01300000000001</v>
      </c>
    </row>
    <row r="49" spans="1:11">
      <c r="A49" s="5"/>
      <c r="B49" s="6"/>
      <c r="C49" s="6"/>
      <c r="D49" s="7"/>
      <c r="E49" s="8"/>
    </row>
    <row r="50" spans="1:11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VLOOKUP(A50,Parking!$C$16:$O$16,'Août 2025'!$H$6,FALSE)</f>
        <v>200</v>
      </c>
    </row>
    <row r="51" spans="1:11">
      <c r="A51" s="5"/>
      <c r="B51" s="6"/>
      <c r="C51" s="6"/>
      <c r="D51" s="7"/>
      <c r="E51" s="8"/>
    </row>
    <row r="52" spans="1:11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VLOOKUP(A52,URSSAF!$C$16:$O$16,'Août 2025'!$H$6,FALSE)</f>
        <v>0</v>
      </c>
    </row>
    <row r="53" spans="1:11">
      <c r="A53" s="5"/>
      <c r="B53" s="6"/>
      <c r="C53" s="6"/>
      <c r="D53" s="7"/>
      <c r="E53" s="8"/>
    </row>
    <row r="54" spans="1:11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  <c r="K54" t="s">
        <v>510</v>
      </c>
    </row>
    <row r="55" spans="1:11">
      <c r="A55" s="5">
        <v>2290</v>
      </c>
      <c r="B55" s="6" t="str">
        <f>VLOOKUP(A55,'Tables comptes'!$A:$B,2,FALSE)</f>
        <v>Salaires à payer</v>
      </c>
      <c r="C55" s="6" t="s">
        <v>428</v>
      </c>
      <c r="D55" s="7"/>
      <c r="E55" s="8">
        <f ca="1">SUM(D10:D54)-SUM(E10:E54)</f>
        <v>35970.900000000009</v>
      </c>
      <c r="G55" s="116">
        <v>35970.9</v>
      </c>
      <c r="H55" s="40">
        <f ca="1">+E55-G55</f>
        <v>0</v>
      </c>
    </row>
    <row r="56" spans="1:11">
      <c r="A56" s="5"/>
      <c r="B56" s="6"/>
      <c r="C56" s="6"/>
      <c r="D56" s="7"/>
      <c r="E56" s="8"/>
    </row>
    <row r="57" spans="1:11">
      <c r="A57" s="5"/>
      <c r="B57" s="6"/>
      <c r="C57" s="6"/>
      <c r="D57" s="9"/>
      <c r="E57" s="10">
        <v>0</v>
      </c>
    </row>
    <row r="58" spans="1:11">
      <c r="A58" s="11"/>
      <c r="B58" s="11" t="s">
        <v>2</v>
      </c>
      <c r="C58" s="11"/>
      <c r="D58" s="12">
        <f ca="1">SUM(D9:D57)</f>
        <v>57965.200000000004</v>
      </c>
      <c r="E58" s="13">
        <f ca="1">SUM(E9:E57)</f>
        <v>57965.200000000012</v>
      </c>
    </row>
    <row r="59" spans="1:11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F432-96A0-4739-B09D-8433B027EDED}">
  <sheetPr>
    <pageSetUpPr fitToPage="1"/>
  </sheetPr>
  <dimension ref="A5:H59"/>
  <sheetViews>
    <sheetView topLeftCell="A16" workbookViewId="0">
      <selection activeCell="H32" sqref="H32"/>
    </sheetView>
  </sheetViews>
  <sheetFormatPr baseColWidth="10" defaultRowHeight="15"/>
  <cols>
    <col min="1" max="1" width="10.7109375" customWidth="1"/>
    <col min="2" max="2" width="61.7109375" customWidth="1"/>
    <col min="3" max="3" width="25.7109375" customWidth="1"/>
  </cols>
  <sheetData>
    <row r="5" spans="1:8">
      <c r="G5" s="107" t="s">
        <v>386</v>
      </c>
      <c r="H5" s="108"/>
    </row>
    <row r="6" spans="1:8">
      <c r="A6" s="1"/>
      <c r="B6" s="2" t="s">
        <v>5</v>
      </c>
      <c r="C6" s="114" t="s">
        <v>414</v>
      </c>
      <c r="D6" s="3" t="s">
        <v>502</v>
      </c>
      <c r="E6" s="1"/>
      <c r="G6" s="109">
        <f>MONTH(C6&amp;1)</f>
        <v>9</v>
      </c>
      <c r="H6" s="110">
        <f>+G6+1</f>
        <v>10</v>
      </c>
    </row>
    <row r="7" spans="1:8">
      <c r="A7" s="1"/>
      <c r="B7" s="1"/>
      <c r="C7" s="1"/>
      <c r="D7" s="1"/>
      <c r="E7" s="1"/>
    </row>
    <row r="8" spans="1:8">
      <c r="A8" s="4" t="s">
        <v>3</v>
      </c>
      <c r="B8" s="4" t="s">
        <v>355</v>
      </c>
      <c r="C8" s="4" t="s">
        <v>4</v>
      </c>
      <c r="D8" s="4" t="s">
        <v>0</v>
      </c>
      <c r="E8" s="4" t="s">
        <v>1</v>
      </c>
      <c r="H8" s="4" t="s">
        <v>358</v>
      </c>
    </row>
    <row r="9" spans="1:8">
      <c r="A9" s="5"/>
      <c r="B9" s="6"/>
      <c r="C9" s="6"/>
      <c r="D9" s="7"/>
      <c r="E9" s="8"/>
    </row>
    <row r="10" spans="1:8">
      <c r="A10" s="5">
        <v>5000</v>
      </c>
      <c r="B10" s="6" t="str">
        <f>VLOOKUP(A10,'Tables comptes'!$A:$B,2,FALSE)</f>
        <v>Salaires, personnel du fournisseur exécutant les mandats technique</v>
      </c>
      <c r="C10" s="6" t="s">
        <v>415</v>
      </c>
      <c r="D10" s="7">
        <f ca="1">VLOOKUP(A10,'Salaires bruts'!$C$19:$P$25,$H$6,FALSE)</f>
        <v>11851.55</v>
      </c>
      <c r="E10" s="8"/>
      <c r="G10" t="s">
        <v>372</v>
      </c>
      <c r="H10" s="40">
        <f ca="1">SUM(D10:D14)</f>
        <v>52184.549999999996</v>
      </c>
    </row>
    <row r="11" spans="1:8">
      <c r="A11" s="5">
        <v>5007</v>
      </c>
      <c r="B11" s="6" t="str">
        <f>VLOOKUP(A11,'Tables comptes'!$A:$B,2,FALSE)</f>
        <v>Salaires, office manager du fournisseur</v>
      </c>
      <c r="C11" s="6" t="s">
        <v>415</v>
      </c>
      <c r="D11" s="7">
        <f ca="1">VLOOKUP(A11,'Salaires bruts'!$C$19:$P$25,$H$6,FALSE)</f>
        <v>6166.65</v>
      </c>
      <c r="E11" s="8"/>
      <c r="G11" t="s">
        <v>406</v>
      </c>
      <c r="H11" s="40">
        <f ca="1">VLOOKUP(G11,'Salaires bruts'!C25:O25,'Sept 2025'!$H$6,FALSE)</f>
        <v>52184.549999999996</v>
      </c>
    </row>
    <row r="12" spans="1:8">
      <c r="A12" s="5">
        <v>5009</v>
      </c>
      <c r="B12" s="6" t="str">
        <f>VLOOKUP(A12,'Tables comptes'!$A:$B,2,FALSE)</f>
        <v>Salaires, personnel dirigeant du fournisseur</v>
      </c>
      <c r="C12" s="6" t="s">
        <v>415</v>
      </c>
      <c r="D12" s="7">
        <f ca="1">VLOOKUP(A12,'Salaires bruts'!$C$19:$P$25,$H$6,FALSE)</f>
        <v>25833</v>
      </c>
      <c r="E12" s="8"/>
      <c r="G12" t="s">
        <v>407</v>
      </c>
      <c r="H12" s="40">
        <f ca="1">+H10-H11</f>
        <v>0</v>
      </c>
    </row>
    <row r="13" spans="1:8">
      <c r="A13" s="5">
        <v>5012</v>
      </c>
      <c r="B13" s="6" t="str">
        <f>VLOOKUP(A13,'Tables comptes'!$A:$B,2,FALSE)</f>
        <v>Salaires, personnel dirigeant FR</v>
      </c>
      <c r="C13" s="6" t="s">
        <v>415</v>
      </c>
      <c r="D13" s="7">
        <f ca="1">VLOOKUP(A13,'Salaires bruts'!$C$19:$P$25,$H$6,FALSE)</f>
        <v>0</v>
      </c>
      <c r="E13" s="8"/>
      <c r="H13" s="40"/>
    </row>
    <row r="14" spans="1:8">
      <c r="A14" s="5">
        <v>5020</v>
      </c>
      <c r="B14" s="6" t="str">
        <f>VLOOKUP(A14,'Tables comptes'!$A:$B,2,FALSE)</f>
        <v>Salaires, personnel informatique</v>
      </c>
      <c r="C14" s="6" t="s">
        <v>415</v>
      </c>
      <c r="D14" s="7">
        <f ca="1">VLOOKUP(A14,'Salaires bruts'!$C$19:$P$25,$H$6,FALSE)</f>
        <v>8333.35</v>
      </c>
      <c r="E14" s="8"/>
      <c r="H14" s="40"/>
    </row>
    <row r="15" spans="1:8">
      <c r="A15" s="5"/>
      <c r="B15" s="6"/>
      <c r="C15" s="6"/>
      <c r="D15" s="7"/>
      <c r="E15" s="8"/>
      <c r="H15" s="40"/>
    </row>
    <row r="16" spans="1:8">
      <c r="A16" s="5">
        <v>5004</v>
      </c>
      <c r="B16" s="6" t="str">
        <f>VLOOKUP(A16,'Tables comptes'!$A:$B,2,FALSE)</f>
        <v>Primes- Personnel du fournisseur exécutant les mandats techniques</v>
      </c>
      <c r="C16" s="6" t="s">
        <v>503</v>
      </c>
      <c r="D16" s="7">
        <f ca="1">VLOOKUP($A16,Primes!$C$20:$O$24,$H$6,FALSE)</f>
        <v>0</v>
      </c>
      <c r="E16" s="8"/>
      <c r="G16" t="s">
        <v>373</v>
      </c>
      <c r="H16" s="40">
        <f ca="1">SUM(D16:D20)</f>
        <v>0</v>
      </c>
    </row>
    <row r="17" spans="1:8">
      <c r="A17" s="5">
        <v>5006</v>
      </c>
      <c r="B17" s="6" t="str">
        <f>VLOOKUP(A17,'Tables comptes'!$A:$B,2,FALSE)</f>
        <v>Primes - Office manager du fournisseur</v>
      </c>
      <c r="C17" s="6" t="s">
        <v>503</v>
      </c>
      <c r="D17" s="7">
        <f ca="1">VLOOKUP($A17,Primes!$C$20:$O$24,$H$6,FALSE)</f>
        <v>0</v>
      </c>
      <c r="E17" s="8"/>
      <c r="G17" t="s">
        <v>406</v>
      </c>
      <c r="H17" s="40">
        <f ca="1">VLOOKUP(G17,Primes!$C$25:$O$25,'Sept 2025'!$H$6,FALSE)</f>
        <v>0</v>
      </c>
    </row>
    <row r="18" spans="1:8">
      <c r="A18" s="5">
        <v>5010</v>
      </c>
      <c r="B18" s="6" t="str">
        <f>VLOOKUP(A18,'Tables comptes'!$A:$B,2,FALSE)</f>
        <v>Prime personnel dirigeant du fournisseur</v>
      </c>
      <c r="C18" s="6" t="s">
        <v>503</v>
      </c>
      <c r="D18" s="7">
        <f ca="1">VLOOKUP($A18,Primes!$C$20:$O$24,$H$6,FALSE)</f>
        <v>0</v>
      </c>
      <c r="E18" s="8"/>
      <c r="G18" t="s">
        <v>407</v>
      </c>
      <c r="H18" s="40">
        <f ca="1">+H16-H17</f>
        <v>0</v>
      </c>
    </row>
    <row r="19" spans="1:8">
      <c r="A19" s="5">
        <v>5013</v>
      </c>
      <c r="B19" s="6" t="str">
        <f>VLOOKUP(A19,'Tables comptes'!$A:$B,2,FALSE)</f>
        <v>Prime  Dirigeant FR</v>
      </c>
      <c r="C19" s="6" t="s">
        <v>503</v>
      </c>
      <c r="D19" s="7">
        <f ca="1">VLOOKUP($A19,Primes!$C$20:$O$24,$H$6,FALSE)</f>
        <v>0</v>
      </c>
      <c r="E19" s="8"/>
      <c r="H19" s="40"/>
    </row>
    <row r="20" spans="1:8">
      <c r="A20" s="5">
        <v>5021</v>
      </c>
      <c r="B20" s="6" t="str">
        <f>VLOOKUP(A20,'Tables comptes'!$A:$B,2,FALSE)</f>
        <v>Prime personnel informatique</v>
      </c>
      <c r="C20" s="6" t="s">
        <v>503</v>
      </c>
      <c r="D20" s="7">
        <f ca="1">VLOOKUP($A20,Primes!$C$20:$O$24,$H$6,FALSE)</f>
        <v>0</v>
      </c>
      <c r="E20" s="8"/>
      <c r="H20" s="40"/>
    </row>
    <row r="21" spans="1:8">
      <c r="A21" s="5"/>
      <c r="B21" s="6"/>
      <c r="C21" s="6"/>
      <c r="D21" s="7"/>
      <c r="E21" s="8"/>
      <c r="H21" s="40"/>
    </row>
    <row r="22" spans="1:8">
      <c r="A22" s="5">
        <v>5700</v>
      </c>
      <c r="B22" s="6" t="str">
        <f>VLOOKUP(A22,'Tables comptes'!$A:$B,2,FALSE)</f>
        <v>AVS, AI, APG, AC - Personnel du fournisseur exécutant les mandats technique</v>
      </c>
      <c r="C22" s="78" t="s">
        <v>416</v>
      </c>
      <c r="D22" s="8">
        <f ca="1">VLOOKUP(A22,'AVS AC PP'!$C$25:$O$29,'Sept 2025'!$H$6,FALSE)</f>
        <v>1070.6499999999999</v>
      </c>
      <c r="G22" t="s">
        <v>352</v>
      </c>
      <c r="H22" s="40">
        <f ca="1">SUM(D22:D25)</f>
        <v>4701.8500000000004</v>
      </c>
    </row>
    <row r="23" spans="1:8">
      <c r="A23" s="5">
        <v>5701</v>
      </c>
      <c r="B23" s="6" t="str">
        <f>VLOOKUP(A23,'Tables comptes'!$A:$B,2,FALSE)</f>
        <v>AVS, AI, APG, AC - Office manager du fournisseur</v>
      </c>
      <c r="C23" s="78" t="s">
        <v>416</v>
      </c>
      <c r="D23" s="8">
        <f ca="1">VLOOKUP(A23,'AVS AC PP'!$C$25:$O$29,'Sept 2025'!$H$6,FALSE)</f>
        <v>557.10000000000014</v>
      </c>
      <c r="G23" t="s">
        <v>406</v>
      </c>
      <c r="H23" s="40">
        <f ca="1">VLOOKUP(G23,'AVS AC PP'!$C$30:$O$30,'Sept 2025'!$H$6,FALSE)</f>
        <v>4701.8500000000004</v>
      </c>
    </row>
    <row r="24" spans="1:8">
      <c r="A24" s="5">
        <v>5702</v>
      </c>
      <c r="B24" s="6" t="str">
        <f>VLOOKUP(A24,'Tables comptes'!$A:$B,2,FALSE)</f>
        <v>AVS, AI, APG, AC - Personnel dirigeant du fournisseur</v>
      </c>
      <c r="C24" s="78" t="s">
        <v>416</v>
      </c>
      <c r="D24" s="8">
        <f ca="1">VLOOKUP(A24,'AVS AC PP'!$C$25:$O$29,'Sept 2025'!$H$6,FALSE)</f>
        <v>2321.3000000000002</v>
      </c>
      <c r="G24" t="s">
        <v>407</v>
      </c>
      <c r="H24" s="40">
        <f ca="1">+H22-H23</f>
        <v>0</v>
      </c>
    </row>
    <row r="25" spans="1:8">
      <c r="A25" s="5">
        <v>5703</v>
      </c>
      <c r="B25" s="6" t="str">
        <f>VLOOKUP(A25,'Tables comptes'!$A:$B,2,FALSE)</f>
        <v>AVS, AI, APG, AC - personnel informatique</v>
      </c>
      <c r="C25" s="78" t="s">
        <v>416</v>
      </c>
      <c r="D25" s="8">
        <f ca="1">VLOOKUP(A25,'AVS AC PP'!$C$25:$O$29,'Sept 2025'!$H$6,FALSE)</f>
        <v>752.8</v>
      </c>
      <c r="H25" s="40"/>
    </row>
    <row r="26" spans="1:8">
      <c r="A26" s="5"/>
      <c r="B26" s="6"/>
      <c r="C26" s="78"/>
      <c r="D26" s="8"/>
      <c r="H26" s="40"/>
    </row>
    <row r="27" spans="1:8">
      <c r="A27" s="5">
        <v>5730</v>
      </c>
      <c r="B27" s="6" t="str">
        <f>VLOOKUP(A27,'Tables comptes'!$A:$B,2,FALSE)</f>
        <v>Cotisation LAA - Personnel du fournisseur exécutant les mandats technique</v>
      </c>
      <c r="C27" s="78" t="s">
        <v>417</v>
      </c>
      <c r="D27" s="8">
        <f ca="1">VLOOKUP(A27,'AANP - LAA'!$C$20:$P$24,$H$6,FALSE)</f>
        <v>64.3</v>
      </c>
      <c r="G27" t="s">
        <v>369</v>
      </c>
      <c r="H27" s="40">
        <f ca="1">SUM(D27:D30)</f>
        <v>307.3</v>
      </c>
    </row>
    <row r="28" spans="1:8">
      <c r="A28" s="5">
        <v>5731</v>
      </c>
      <c r="B28" s="6" t="str">
        <f>VLOOKUP(A28,'Tables comptes'!$A:$B,2,FALSE)</f>
        <v>Cotisations LAA - Office manager du fournisseur</v>
      </c>
      <c r="C28" s="78" t="s">
        <v>417</v>
      </c>
      <c r="D28" s="8">
        <f ca="1">VLOOKUP(A28,'AANP - LAA'!$C$20:$P$24,$H$6,FALSE)</f>
        <v>33.450000000000003</v>
      </c>
      <c r="G28" t="s">
        <v>406</v>
      </c>
      <c r="H28" s="40">
        <f ca="1">VLOOKUP(G28,'AANP - LAA'!$C$25:$O$25,'Sept 2025'!$H$6,FALSE)</f>
        <v>307.3</v>
      </c>
    </row>
    <row r="29" spans="1:8">
      <c r="A29" s="5">
        <v>5732</v>
      </c>
      <c r="B29" s="6" t="str">
        <f>VLOOKUP(A29,'Tables comptes'!$A:$B,2,FALSE)</f>
        <v>Cotisations LAA - Personnel dirigeant du fournisseur</v>
      </c>
      <c r="C29" s="78" t="s">
        <v>417</v>
      </c>
      <c r="D29" s="8">
        <f ca="1">VLOOKUP(A29,'AANP - LAA'!$C$20:$P$24,$H$6,FALSE)</f>
        <v>164.35000000000002</v>
      </c>
      <c r="G29" t="s">
        <v>407</v>
      </c>
      <c r="H29" s="40">
        <f ca="1">+H27-H28</f>
        <v>0</v>
      </c>
    </row>
    <row r="30" spans="1:8">
      <c r="A30" s="5">
        <v>5733</v>
      </c>
      <c r="B30" s="6" t="str">
        <f>VLOOKUP(A30,'Tables comptes'!$A:$B,2,FALSE)</f>
        <v>Cotisations LAA - Personnel informatique</v>
      </c>
      <c r="C30" s="78" t="s">
        <v>417</v>
      </c>
      <c r="D30" s="8">
        <f ca="1">VLOOKUP(A30,'AANP - LAA'!$C$20:$P$24,$H$6,FALSE)</f>
        <v>45.199999999999996</v>
      </c>
      <c r="H30" s="40"/>
    </row>
    <row r="31" spans="1:8">
      <c r="A31" s="5"/>
      <c r="B31" s="6"/>
      <c r="C31" s="78"/>
      <c r="D31" s="8"/>
      <c r="H31" s="40"/>
    </row>
    <row r="32" spans="1:8">
      <c r="A32" s="5">
        <v>5740</v>
      </c>
      <c r="B32" s="6" t="str">
        <f>VLOOKUP(A32,'Tables comptes'!$A:$B,2,FALSE)</f>
        <v>Cotisation IJM - Personnel du fournisseur exécutant les mandats techniques</v>
      </c>
      <c r="C32" s="78" t="s">
        <v>418</v>
      </c>
      <c r="D32" s="8">
        <f ca="1">VLOOKUP(A32,IJM!$C$20:$P$24,$H$6,FALSE)</f>
        <v>48.6</v>
      </c>
      <c r="G32" t="s">
        <v>368</v>
      </c>
      <c r="H32" s="40">
        <f ca="1">SUM(D32:D35)</f>
        <v>261.8</v>
      </c>
    </row>
    <row r="33" spans="1:8">
      <c r="A33" s="5">
        <v>5741</v>
      </c>
      <c r="B33" s="6" t="str">
        <f>VLOOKUP(A33,'Tables comptes'!$A:$B,2,FALSE)</f>
        <v>Cotisations IJM - Office manager du fournisseur</v>
      </c>
      <c r="C33" s="78" t="s">
        <v>418</v>
      </c>
      <c r="D33" s="8">
        <f ca="1">VLOOKUP(A33,IJM!$C$20:$P$24,$H$6,FALSE)</f>
        <v>25.3</v>
      </c>
      <c r="G33" t="s">
        <v>406</v>
      </c>
      <c r="H33" s="40">
        <f ca="1">VLOOKUP(G33,IJM!$C$25:$O$25,'Sept 2025'!$H$6,FALSE)</f>
        <v>261.8</v>
      </c>
    </row>
    <row r="34" spans="1:8">
      <c r="A34" s="5">
        <v>5742</v>
      </c>
      <c r="B34" s="6" t="str">
        <f>VLOOKUP(A34,'Tables comptes'!$A:$B,2,FALSE)</f>
        <v>Cotisations IJM - Personnel dirigeant du fournisseur</v>
      </c>
      <c r="C34" s="78" t="s">
        <v>418</v>
      </c>
      <c r="D34" s="8">
        <f ca="1">VLOOKUP(A34,IJM!$C$20:$P$24,$H$6,FALSE)</f>
        <v>153.75</v>
      </c>
      <c r="G34" t="s">
        <v>407</v>
      </c>
      <c r="H34" s="40">
        <f ca="1">+H32-H33</f>
        <v>0</v>
      </c>
    </row>
    <row r="35" spans="1:8">
      <c r="A35" s="5">
        <v>5743</v>
      </c>
      <c r="B35" s="6" t="str">
        <f>VLOOKUP(A35,'Tables comptes'!$A:$B,2,FALSE)</f>
        <v>Cotisations IJM - Personnel informatique</v>
      </c>
      <c r="C35" s="78" t="s">
        <v>418</v>
      </c>
      <c r="D35" s="8">
        <f ca="1">VLOOKUP(A35,IJM!$C$20:$P$24,$H$6,FALSE)</f>
        <v>34.15</v>
      </c>
      <c r="H35" s="40"/>
    </row>
    <row r="36" spans="1:8">
      <c r="A36" s="5"/>
      <c r="B36" s="6"/>
      <c r="C36" s="6"/>
      <c r="D36" s="66"/>
      <c r="E36" s="8"/>
      <c r="H36" s="40"/>
    </row>
    <row r="37" spans="1:8">
      <c r="A37" s="5">
        <v>5704</v>
      </c>
      <c r="B37" s="6" t="str">
        <f>VLOOKUP(A37,'Tables comptes'!$A:$B,2,FALSE)</f>
        <v>Cotisations LPP- Personnel informatique</v>
      </c>
      <c r="C37" s="6" t="s">
        <v>419</v>
      </c>
      <c r="D37" s="7">
        <f ca="1">VLOOKUP(A37,'LPP part patronale'!$C$20:$O$24,'Sept 2025'!$H$6,FALSE)</f>
        <v>349.3</v>
      </c>
      <c r="G37" t="s">
        <v>362</v>
      </c>
      <c r="H37" s="40">
        <f ca="1">SUM(D37:D41)</f>
        <v>2784.45</v>
      </c>
    </row>
    <row r="38" spans="1:8">
      <c r="A38" s="5">
        <v>5720</v>
      </c>
      <c r="B38" s="6" t="str">
        <f>VLOOKUP(A38,'Tables comptes'!$A:$B,2,FALSE)</f>
        <v>Cotisation LPP - Personnel du fournisseur exécutant les mandats technique</v>
      </c>
      <c r="C38" s="6" t="s">
        <v>419</v>
      </c>
      <c r="D38" s="7">
        <f ca="1">VLOOKUP(A38,'LPP part patronale'!$C$20:$O$24,'Sept 2025'!$H$6,FALSE)</f>
        <v>226.35</v>
      </c>
      <c r="G38" t="s">
        <v>406</v>
      </c>
      <c r="H38" s="40">
        <f ca="1">VLOOKUP(G38,'LPP part patronale'!$C$25:$O$25,'Sept 2025'!$H$6,FALSE)</f>
        <v>2784.4500000000003</v>
      </c>
    </row>
    <row r="39" spans="1:8">
      <c r="A39" s="5">
        <v>5721</v>
      </c>
      <c r="B39" s="6" t="str">
        <f>VLOOKUP(A39,'Tables comptes'!$A:$B,2,FALSE)</f>
        <v>Cotisations LPP - Office manager du fournisseur</v>
      </c>
      <c r="C39" s="6" t="s">
        <v>419</v>
      </c>
      <c r="D39" s="7">
        <f ca="1">VLOOKUP(A39,'LPP part patronale'!$C$20:$O$24,'Sept 2025'!$H$6,FALSE)</f>
        <v>166.4</v>
      </c>
      <c r="G39" t="s">
        <v>407</v>
      </c>
      <c r="H39" s="40">
        <f ca="1">+H37-H38</f>
        <v>0</v>
      </c>
    </row>
    <row r="40" spans="1:8">
      <c r="A40" s="5">
        <v>5708</v>
      </c>
      <c r="B40" s="6" t="str">
        <f>VLOOKUP(A40,'Tables comptes'!$A:$B,2,FALSE)</f>
        <v>Cotisations LPP- Personnel dirigeant du fournisseur FR</v>
      </c>
      <c r="C40" s="6" t="s">
        <v>419</v>
      </c>
      <c r="D40" s="7">
        <f ca="1">VLOOKUP(A40,'LPP part patronale'!$C$20:$O$24,'Sept 2025'!$H$6,FALSE)</f>
        <v>0</v>
      </c>
      <c r="H40" s="40"/>
    </row>
    <row r="41" spans="1:8">
      <c r="A41" s="5">
        <v>5722</v>
      </c>
      <c r="B41" s="6" t="str">
        <f>VLOOKUP(A41,'Tables comptes'!$A:$B,2,FALSE)</f>
        <v>Cotisations LPP- Personnel dirigeant du fournisseur</v>
      </c>
      <c r="C41" s="6" t="s">
        <v>419</v>
      </c>
      <c r="D41" s="7">
        <f ca="1">VLOOKUP(A41,'LPP part patronale'!$C$20:$O$24,'Sept 2025'!$H$6,FALSE)</f>
        <v>2042.4</v>
      </c>
      <c r="H41" s="40"/>
    </row>
    <row r="42" spans="1:8">
      <c r="A42" s="5"/>
      <c r="B42" s="6"/>
      <c r="C42" s="6"/>
      <c r="D42" s="66"/>
      <c r="E42" s="8"/>
    </row>
    <row r="43" spans="1:8">
      <c r="A43" s="5">
        <v>2271</v>
      </c>
      <c r="B43" s="6" t="str">
        <f>VLOOKUP(A43,'Tables comptes'!$A:$B,2,FALSE)</f>
        <v>Compte courant AVS, AI, APG, AC</v>
      </c>
      <c r="C43" s="6" t="s">
        <v>420</v>
      </c>
      <c r="D43" s="66"/>
      <c r="E43" s="8">
        <f ca="1">VLOOKUP(A43,'AVS AC employés'!$D$41:$P$41,'Sept 2025'!$H$6,FALSE)+SUM(D22:D25)</f>
        <v>8045.8000000000011</v>
      </c>
    </row>
    <row r="44" spans="1:8">
      <c r="A44" s="5">
        <v>2273</v>
      </c>
      <c r="B44" s="6" t="str">
        <f>VLOOKUP(A44,'Tables comptes'!$A:$B,2,FALSE)</f>
        <v>Compte courant assurance-accidents</v>
      </c>
      <c r="C44" s="6" t="s">
        <v>420</v>
      </c>
      <c r="D44" s="7"/>
      <c r="E44" s="8">
        <f ca="1">VLOOKUP(A44,'AANP - LAA'!$C$30:$O$30,'Sept 2025'!$H$6,FALSE)+SUM(D27:D30)</f>
        <v>614.6</v>
      </c>
    </row>
    <row r="45" spans="1:8">
      <c r="A45" s="5">
        <v>2274</v>
      </c>
      <c r="B45" s="6" t="str">
        <f>VLOOKUP(A45,'Tables comptes'!$A:$B,2,FALSE)</f>
        <v>Compte courant indemnités journalières</v>
      </c>
      <c r="C45" s="6" t="s">
        <v>420</v>
      </c>
      <c r="D45" s="7"/>
      <c r="E45" s="8">
        <f ca="1">VLOOKUP(A45,IJM!$C$30:$O$30,'Sept 2025'!$H$6,FALSE)+SUM(D32:D35)</f>
        <v>523.6</v>
      </c>
    </row>
    <row r="46" spans="1:8">
      <c r="A46" s="5">
        <v>2270</v>
      </c>
      <c r="B46" s="6" t="str">
        <f>VLOOKUP(A46,'Tables comptes'!$A:$B,2,FALSE)</f>
        <v>Compte courant institution de prévoyance</v>
      </c>
      <c r="C46" s="6" t="s">
        <v>420</v>
      </c>
      <c r="D46" s="7"/>
      <c r="E46" s="8">
        <f ca="1">SUM(D37:D41)*2</f>
        <v>5568.9</v>
      </c>
    </row>
    <row r="47" spans="1:8">
      <c r="A47" s="5">
        <v>2279</v>
      </c>
      <c r="B47" s="6" t="str">
        <f>VLOOKUP(A47,'Tables comptes'!$A:$B,2,FALSE)</f>
        <v>Compte courant impôt à la source</v>
      </c>
      <c r="C47" s="6" t="s">
        <v>420</v>
      </c>
      <c r="D47" s="7"/>
      <c r="E47" s="8">
        <f>VLOOKUP(A47,'IS '!$B$13:$N$14,'Sept 2025'!$H$6,FALSE)</f>
        <v>7477.9389999999994</v>
      </c>
    </row>
    <row r="48" spans="1:8">
      <c r="A48" s="5">
        <v>3900</v>
      </c>
      <c r="B48" s="6" t="str">
        <f>VLOOKUP(A48,'Tables comptes'!$A:$B,2,FALSE)</f>
        <v>Commissions sur impôt à la source perçues</v>
      </c>
      <c r="C48" s="6"/>
      <c r="D48" s="7"/>
      <c r="E48" s="8">
        <f>VLOOKUP(A48,'IS '!$B$13:$N$14,'Sept 2025'!$H$6,FALSE)</f>
        <v>152.61099999999999</v>
      </c>
    </row>
    <row r="49" spans="1:8">
      <c r="A49" s="5"/>
      <c r="B49" s="6"/>
      <c r="C49" s="6"/>
      <c r="D49" s="7"/>
      <c r="E49" s="8"/>
    </row>
    <row r="50" spans="1:8">
      <c r="A50" s="5">
        <v>6006</v>
      </c>
      <c r="B50" s="6" t="str">
        <f>VLOOKUP(A50,'Tables comptes'!$A:$B,2,FALSE)</f>
        <v>Loyer du parking</v>
      </c>
      <c r="C50" s="6" t="s">
        <v>402</v>
      </c>
      <c r="D50" s="7"/>
      <c r="E50" s="8">
        <f>VLOOKUP(A50,Parking!$C$16:$O$16,'Sept 2025'!$H$6,FALSE)</f>
        <v>200</v>
      </c>
    </row>
    <row r="51" spans="1:8">
      <c r="A51" s="5"/>
      <c r="B51" s="6"/>
      <c r="C51" s="6"/>
      <c r="D51" s="7"/>
      <c r="E51" s="8"/>
    </row>
    <row r="52" spans="1:8">
      <c r="A52" s="5">
        <v>2431</v>
      </c>
      <c r="B52" s="6" t="str">
        <f>VLOOKUP(A52,'Tables comptes'!$A:$B,2,FALSE)</f>
        <v>URSSAF - Dettes sociales</v>
      </c>
      <c r="C52" s="6" t="s">
        <v>404</v>
      </c>
      <c r="D52" s="7"/>
      <c r="E52" s="8">
        <f>VLOOKUP(A52,URSSAF!$C$16:$O$16,'Sept 2025'!$H$6,FALSE)</f>
        <v>0</v>
      </c>
    </row>
    <row r="53" spans="1:8">
      <c r="A53" s="5"/>
      <c r="B53" s="6"/>
      <c r="C53" s="6"/>
      <c r="D53" s="7"/>
      <c r="E53" s="8"/>
    </row>
    <row r="54" spans="1:8">
      <c r="A54" s="5">
        <v>2290</v>
      </c>
      <c r="B54" s="6" t="str">
        <f>VLOOKUP(A54,'Tables comptes'!$A:$B,2,FALSE)</f>
        <v>Salaires à payer</v>
      </c>
      <c r="C54" s="6" t="s">
        <v>403</v>
      </c>
      <c r="D54" s="7"/>
      <c r="E54" s="115">
        <v>0</v>
      </c>
      <c r="G54" t="s">
        <v>471</v>
      </c>
      <c r="H54" t="s">
        <v>407</v>
      </c>
    </row>
    <row r="55" spans="1:8">
      <c r="A55" s="5">
        <v>2290</v>
      </c>
      <c r="B55" s="6" t="str">
        <f>VLOOKUP(A55,'Tables comptes'!$A:$B,2,FALSE)</f>
        <v>Salaires à payer</v>
      </c>
      <c r="C55" s="6" t="s">
        <v>421</v>
      </c>
      <c r="D55" s="7"/>
      <c r="E55" s="8">
        <f ca="1">SUM(D10:D54)-SUM(E10:E54)</f>
        <v>37656.5</v>
      </c>
      <c r="G55" s="116">
        <v>37656.5</v>
      </c>
      <c r="H55" s="40">
        <f ca="1">+E55-G55</f>
        <v>0</v>
      </c>
    </row>
    <row r="56" spans="1:8">
      <c r="A56" s="5"/>
      <c r="B56" s="6"/>
      <c r="C56" s="6"/>
      <c r="D56" s="7"/>
      <c r="E56" s="8"/>
    </row>
    <row r="57" spans="1:8">
      <c r="A57" s="5"/>
      <c r="B57" s="6"/>
      <c r="C57" s="6"/>
      <c r="D57" s="9"/>
      <c r="E57" s="10"/>
    </row>
    <row r="58" spans="1:8">
      <c r="A58" s="11"/>
      <c r="B58" s="11" t="s">
        <v>2</v>
      </c>
      <c r="C58" s="11"/>
      <c r="D58" s="12">
        <f ca="1">SUM(D9:D57)</f>
        <v>60239.950000000004</v>
      </c>
      <c r="E58" s="13">
        <f ca="1">SUM(E9:E57)</f>
        <v>60239.95</v>
      </c>
    </row>
    <row r="59" spans="1:8">
      <c r="C59" s="53" t="s">
        <v>358</v>
      </c>
      <c r="D59" s="73">
        <f ca="1">+D58-E58</f>
        <v>0</v>
      </c>
      <c r="E59" s="40"/>
    </row>
  </sheetData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12</vt:i4>
      </vt:variant>
    </vt:vector>
  </HeadingPairs>
  <TitlesOfParts>
    <vt:vector size="38" baseType="lpstr">
      <vt:lpstr>Janv 2025</vt:lpstr>
      <vt:lpstr>Fév 2025</vt:lpstr>
      <vt:lpstr>Mars 2025</vt:lpstr>
      <vt:lpstr>Avril 2025</vt:lpstr>
      <vt:lpstr>Mai 2025</vt:lpstr>
      <vt:lpstr>Juin 2025</vt:lpstr>
      <vt:lpstr>Juil 2025</vt:lpstr>
      <vt:lpstr>Août 2025</vt:lpstr>
      <vt:lpstr>Sept 2025</vt:lpstr>
      <vt:lpstr>Oct 2025</vt:lpstr>
      <vt:lpstr>Nov 2025</vt:lpstr>
      <vt:lpstr>Dec 2025</vt:lpstr>
      <vt:lpstr>Salaires bruts</vt:lpstr>
      <vt:lpstr>Primes</vt:lpstr>
      <vt:lpstr>AVS AC employés</vt:lpstr>
      <vt:lpstr>AVS AC PP</vt:lpstr>
      <vt:lpstr>AANP - LAA</vt:lpstr>
      <vt:lpstr>AANP - LAA PP</vt:lpstr>
      <vt:lpstr>IJM</vt:lpstr>
      <vt:lpstr>IJM PP</vt:lpstr>
      <vt:lpstr>LPP part patronale</vt:lpstr>
      <vt:lpstr>IS </vt:lpstr>
      <vt:lpstr>Parking</vt:lpstr>
      <vt:lpstr>URSSAF</vt:lpstr>
      <vt:lpstr>Table secteurs</vt:lpstr>
      <vt:lpstr>Tables comptes</vt:lpstr>
      <vt:lpstr>'Août 2025'!Zone_d_impression</vt:lpstr>
      <vt:lpstr>'Avril 2025'!Zone_d_impression</vt:lpstr>
      <vt:lpstr>'Dec 2025'!Zone_d_impression</vt:lpstr>
      <vt:lpstr>'Fév 2025'!Zone_d_impression</vt:lpstr>
      <vt:lpstr>'Janv 2025'!Zone_d_impression</vt:lpstr>
      <vt:lpstr>'Juil 2025'!Zone_d_impression</vt:lpstr>
      <vt:lpstr>'Juin 2025'!Zone_d_impression</vt:lpstr>
      <vt:lpstr>'Mai 2025'!Zone_d_impression</vt:lpstr>
      <vt:lpstr>'Mars 2025'!Zone_d_impression</vt:lpstr>
      <vt:lpstr>'Nov 2025'!Zone_d_impression</vt:lpstr>
      <vt:lpstr>'Oct 2025'!Zone_d_impression</vt:lpstr>
      <vt:lpstr>'Sept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Delor</dc:creator>
  <cp:lastModifiedBy>Dinah OUARDIRI</cp:lastModifiedBy>
  <cp:lastPrinted>2024-10-22T15:06:44Z</cp:lastPrinted>
  <dcterms:created xsi:type="dcterms:W3CDTF">2024-10-11T06:54:54Z</dcterms:created>
  <dcterms:modified xsi:type="dcterms:W3CDTF">2026-01-06T09:31:01Z</dcterms:modified>
</cp:coreProperties>
</file>