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TEMP_Cloture_2023.06.30\V2_du_2023.07.11\"/>
    </mc:Choice>
  </mc:AlternateContent>
  <xr:revisionPtr revIDLastSave="0" documentId="13_ncr:1_{79311AC2-A4E5-4664-B25D-ED79666B98E2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Résumé!$A$6:$JD$28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81029" calcMode="manual" calcOnSave="0"/>
</workbook>
</file>

<file path=xl/calcChain.xml><?xml version="1.0" encoding="utf-8"?>
<calcChain xmlns="http://schemas.openxmlformats.org/spreadsheetml/2006/main">
  <c r="JF18" i="1" l="1"/>
  <c r="JF16" i="1"/>
  <c r="JF15" i="1"/>
  <c r="JF14" i="1"/>
  <c r="JF13" i="1"/>
  <c r="JF12" i="1"/>
  <c r="JF11" i="1"/>
  <c r="JF10" i="1"/>
  <c r="IY14" i="1" l="1"/>
  <c r="IX14" i="1"/>
  <c r="IW14" i="1"/>
  <c r="IV14" i="1"/>
  <c r="IY13" i="1"/>
  <c r="IX13" i="1"/>
  <c r="IW13" i="1"/>
  <c r="IV13" i="1"/>
  <c r="IY12" i="1"/>
  <c r="IX12" i="1"/>
  <c r="IX18" i="1" s="1"/>
  <c r="IW12" i="1"/>
  <c r="IW18" i="1" s="1"/>
  <c r="IV12" i="1"/>
  <c r="IX11" i="1"/>
  <c r="IW11" i="1"/>
  <c r="IV11" i="1"/>
  <c r="IY16" i="1"/>
  <c r="IX16" i="1"/>
  <c r="IW16" i="1"/>
  <c r="IV16" i="1"/>
  <c r="IY15" i="1"/>
  <c r="IX15" i="1"/>
  <c r="IW15" i="1"/>
  <c r="IV15" i="1"/>
  <c r="IY10" i="1"/>
  <c r="IY18" i="1" s="1"/>
  <c r="IX10" i="1"/>
  <c r="IW10" i="1"/>
  <c r="IV10" i="1"/>
  <c r="IU18" i="1"/>
  <c r="IT18" i="1"/>
  <c r="IS18" i="1"/>
  <c r="IR18" i="1"/>
  <c r="JD14" i="1"/>
  <c r="JD13" i="1"/>
  <c r="JD12" i="1"/>
  <c r="JD11" i="1"/>
  <c r="JC14" i="1"/>
  <c r="JC13" i="1"/>
  <c r="JC12" i="1"/>
  <c r="JC11" i="1"/>
  <c r="JB14" i="1"/>
  <c r="JB13" i="1"/>
  <c r="JB12" i="1"/>
  <c r="JB11" i="1"/>
  <c r="JA14" i="1"/>
  <c r="JA13" i="1"/>
  <c r="JA12" i="1"/>
  <c r="JA11" i="1"/>
  <c r="JA18" i="1" s="1"/>
  <c r="JB18" i="1" l="1"/>
  <c r="JC18" i="1"/>
  <c r="IV18" i="1"/>
  <c r="JD18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O11" i="1"/>
  <c r="IN11" i="1"/>
  <c r="IM11" i="1"/>
  <c r="IP10" i="1"/>
  <c r="IP18" i="1" s="1"/>
  <c r="IO10" i="1"/>
  <c r="IN10" i="1"/>
  <c r="IM10" i="1"/>
  <c r="IM18" i="1" l="1"/>
  <c r="IN18" i="1"/>
  <c r="IO18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<sst xmlns="http://schemas.openxmlformats.org/spreadsheetml/2006/main" count="594" uniqueCount="140">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</sst>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70" fillId="0" borderId="17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I142"/>
  <sheetViews>
    <sheetView showGridLines="0" tabSelected="1" zoomScale="60" zoomScaleNormal="60" workbookViewId="0">
      <pane xSplit="8" topLeftCell="IQ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3" width="20.140625" style="1" customWidth="1"/>
    <col min="264" max="264" width="22" style="1" customWidth="1"/>
    <col min="265" max="265" width="9.140625" style="1"/>
    <col min="266" max="266" width="16.5703125" style="1" bestFit="1" customWidth="1"/>
    <col min="267" max="267" width="21.7109375" style="1" customWidth="1"/>
    <col min="268" max="16384" width="9.140625" style="1"/>
  </cols>
  <sheetData>
    <row r="1" spans="1:269" ht="31.5" x14ac:dyDescent="0.5">
      <c r="A1" s="3" t="s">
        <v>26</v>
      </c>
      <c r="B1" s="4"/>
      <c r="C1" s="4"/>
      <c r="D1" s="4"/>
    </row>
    <row r="2" spans="1:269" ht="15.75" x14ac:dyDescent="0.25">
      <c r="A2" s="160"/>
      <c r="B2" s="160"/>
      <c r="C2" s="160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</row>
    <row r="3" spans="1:269" ht="15.75" x14ac:dyDescent="0.25">
      <c r="A3" s="161"/>
      <c r="B3" s="161"/>
      <c r="C3" s="161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</row>
    <row r="4" spans="1:26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</row>
    <row r="5" spans="1:269" ht="15.75" customHeight="1" x14ac:dyDescent="0.2">
      <c r="A5" s="18"/>
      <c r="B5" s="18"/>
      <c r="C5" s="18"/>
      <c r="D5" s="18"/>
      <c r="E5" s="162" t="s">
        <v>12</v>
      </c>
      <c r="F5" s="162"/>
      <c r="G5" s="162"/>
      <c r="H5" s="19"/>
      <c r="I5" s="157" t="s">
        <v>23</v>
      </c>
      <c r="J5" s="158"/>
      <c r="K5" s="158"/>
      <c r="L5" s="158"/>
      <c r="M5" s="158"/>
      <c r="N5" s="158"/>
      <c r="O5" s="158"/>
      <c r="P5" s="159"/>
      <c r="Q5" s="19"/>
      <c r="R5" s="157" t="s">
        <v>25</v>
      </c>
      <c r="S5" s="158"/>
      <c r="T5" s="158"/>
      <c r="U5" s="158"/>
      <c r="V5" s="158"/>
      <c r="W5" s="158"/>
      <c r="X5" s="158"/>
      <c r="Y5" s="159"/>
      <c r="Z5" s="19"/>
      <c r="AA5" s="157" t="s">
        <v>19</v>
      </c>
      <c r="AB5" s="158"/>
      <c r="AC5" s="158"/>
      <c r="AD5" s="158"/>
      <c r="AE5" s="158"/>
      <c r="AF5" s="158"/>
      <c r="AG5" s="158"/>
      <c r="AH5" s="159"/>
      <c r="AJ5" s="157" t="s">
        <v>80</v>
      </c>
      <c r="AK5" s="158"/>
      <c r="AL5" s="158"/>
      <c r="AM5" s="158"/>
      <c r="AN5" s="158"/>
      <c r="AO5" s="158"/>
      <c r="AP5" s="158"/>
      <c r="AQ5" s="159"/>
      <c r="AR5" s="19"/>
      <c r="AS5" s="157" t="s">
        <v>93</v>
      </c>
      <c r="AT5" s="158"/>
      <c r="AU5" s="158"/>
      <c r="AV5" s="158"/>
      <c r="AW5" s="158"/>
      <c r="AX5" s="158"/>
      <c r="AY5" s="158"/>
      <c r="AZ5" s="159"/>
      <c r="BB5" s="157" t="s">
        <v>105</v>
      </c>
      <c r="BC5" s="158"/>
      <c r="BD5" s="158"/>
      <c r="BE5" s="158"/>
      <c r="BF5" s="158"/>
      <c r="BG5" s="158"/>
      <c r="BH5" s="158"/>
      <c r="BI5" s="159"/>
      <c r="BK5" s="157" t="s">
        <v>116</v>
      </c>
      <c r="BL5" s="158"/>
      <c r="BM5" s="158"/>
      <c r="BN5" s="158"/>
      <c r="BO5" s="158"/>
      <c r="BP5" s="158"/>
      <c r="BQ5" s="158"/>
      <c r="BR5" s="159"/>
      <c r="BT5" s="157" t="s">
        <v>118</v>
      </c>
      <c r="BU5" s="158"/>
      <c r="BV5" s="158"/>
      <c r="BW5" s="158"/>
      <c r="BX5" s="158"/>
      <c r="BY5" s="158"/>
      <c r="BZ5" s="158"/>
      <c r="CA5" s="159"/>
      <c r="CC5" s="157" t="s">
        <v>119</v>
      </c>
      <c r="CD5" s="158"/>
      <c r="CE5" s="158"/>
      <c r="CF5" s="158"/>
      <c r="CG5" s="158"/>
      <c r="CH5" s="158"/>
      <c r="CI5" s="158"/>
      <c r="CJ5" s="159"/>
      <c r="CL5" s="157" t="s">
        <v>120</v>
      </c>
      <c r="CM5" s="158"/>
      <c r="CN5" s="158"/>
      <c r="CO5" s="158"/>
      <c r="CP5" s="158"/>
      <c r="CQ5" s="158"/>
      <c r="CR5" s="158"/>
      <c r="CS5" s="159"/>
      <c r="CU5" s="157" t="s">
        <v>121</v>
      </c>
      <c r="CV5" s="158"/>
      <c r="CW5" s="158"/>
      <c r="CX5" s="158"/>
      <c r="CY5" s="158"/>
      <c r="CZ5" s="158"/>
      <c r="DA5" s="158"/>
      <c r="DB5" s="159"/>
      <c r="DD5" s="157" t="s">
        <v>122</v>
      </c>
      <c r="DE5" s="158"/>
      <c r="DF5" s="158"/>
      <c r="DG5" s="158"/>
      <c r="DH5" s="158"/>
      <c r="DI5" s="158"/>
      <c r="DJ5" s="158"/>
      <c r="DK5" s="159"/>
      <c r="DM5" s="157" t="s">
        <v>123</v>
      </c>
      <c r="DN5" s="158"/>
      <c r="DO5" s="158"/>
      <c r="DP5" s="158"/>
      <c r="DQ5" s="158"/>
      <c r="DR5" s="158"/>
      <c r="DS5" s="158"/>
      <c r="DT5" s="159"/>
      <c r="DV5" s="157" t="s">
        <v>124</v>
      </c>
      <c r="DW5" s="158"/>
      <c r="DX5" s="158"/>
      <c r="DY5" s="158"/>
      <c r="DZ5" s="158"/>
      <c r="EA5" s="158"/>
      <c r="EB5" s="158"/>
      <c r="EC5" s="159"/>
      <c r="EE5" s="157" t="s">
        <v>125</v>
      </c>
      <c r="EF5" s="158"/>
      <c r="EG5" s="158"/>
      <c r="EH5" s="158"/>
      <c r="EI5" s="158"/>
      <c r="EJ5" s="158"/>
      <c r="EK5" s="158"/>
      <c r="EL5" s="159"/>
      <c r="EN5" s="157" t="s">
        <v>126</v>
      </c>
      <c r="EO5" s="158"/>
      <c r="EP5" s="158"/>
      <c r="EQ5" s="158"/>
      <c r="ER5" s="158"/>
      <c r="ES5" s="158"/>
      <c r="ET5" s="158"/>
      <c r="EU5" s="159"/>
      <c r="EW5" s="157" t="s">
        <v>127</v>
      </c>
      <c r="EX5" s="158"/>
      <c r="EY5" s="158"/>
      <c r="EZ5" s="158"/>
      <c r="FA5" s="158"/>
      <c r="FB5" s="158"/>
      <c r="FC5" s="158"/>
      <c r="FD5" s="159"/>
      <c r="FF5" s="157" t="s">
        <v>128</v>
      </c>
      <c r="FG5" s="158"/>
      <c r="FH5" s="158"/>
      <c r="FI5" s="158"/>
      <c r="FJ5" s="158"/>
      <c r="FK5" s="158"/>
      <c r="FL5" s="158"/>
      <c r="FM5" s="159"/>
      <c r="FO5" s="157" t="s">
        <v>129</v>
      </c>
      <c r="FP5" s="158"/>
      <c r="FQ5" s="158"/>
      <c r="FR5" s="158"/>
      <c r="FS5" s="158"/>
      <c r="FT5" s="158"/>
      <c r="FU5" s="158"/>
      <c r="FV5" s="159"/>
      <c r="FX5" s="157" t="s">
        <v>130</v>
      </c>
      <c r="FY5" s="158"/>
      <c r="FZ5" s="158"/>
      <c r="GA5" s="158"/>
      <c r="GB5" s="158"/>
      <c r="GC5" s="158"/>
      <c r="GD5" s="158"/>
      <c r="GE5" s="159"/>
      <c r="GG5" s="157" t="s">
        <v>131</v>
      </c>
      <c r="GH5" s="158"/>
      <c r="GI5" s="158"/>
      <c r="GJ5" s="158"/>
      <c r="GK5" s="158"/>
      <c r="GL5" s="158"/>
      <c r="GM5" s="158"/>
      <c r="GN5" s="159"/>
      <c r="GP5" s="157" t="s">
        <v>132</v>
      </c>
      <c r="GQ5" s="158"/>
      <c r="GR5" s="158"/>
      <c r="GS5" s="158"/>
      <c r="GT5" s="158"/>
      <c r="GU5" s="158"/>
      <c r="GV5" s="158"/>
      <c r="GW5" s="159"/>
      <c r="GY5" s="157" t="s">
        <v>134</v>
      </c>
      <c r="GZ5" s="158"/>
      <c r="HA5" s="158"/>
      <c r="HB5" s="158"/>
      <c r="HC5" s="158"/>
      <c r="HD5" s="158"/>
      <c r="HE5" s="158"/>
      <c r="HF5" s="159"/>
      <c r="HH5" s="157" t="s">
        <v>135</v>
      </c>
      <c r="HI5" s="158"/>
      <c r="HJ5" s="158"/>
      <c r="HK5" s="158"/>
      <c r="HL5" s="158"/>
      <c r="HM5" s="158"/>
      <c r="HN5" s="158"/>
      <c r="HO5" s="159"/>
      <c r="HQ5" s="157" t="s">
        <v>136</v>
      </c>
      <c r="HR5" s="158"/>
      <c r="HS5" s="158"/>
      <c r="HT5" s="158"/>
      <c r="HU5" s="158"/>
      <c r="HV5" s="158"/>
      <c r="HW5" s="158"/>
      <c r="HX5" s="159"/>
      <c r="HZ5" s="157" t="s">
        <v>137</v>
      </c>
      <c r="IA5" s="158"/>
      <c r="IB5" s="158"/>
      <c r="IC5" s="158"/>
      <c r="ID5" s="158"/>
      <c r="IE5" s="158"/>
      <c r="IF5" s="158"/>
      <c r="IG5" s="159"/>
      <c r="II5" s="157" t="s">
        <v>138</v>
      </c>
      <c r="IJ5" s="158"/>
      <c r="IK5" s="158"/>
      <c r="IL5" s="158"/>
      <c r="IM5" s="158"/>
      <c r="IN5" s="158"/>
      <c r="IO5" s="158"/>
      <c r="IP5" s="159"/>
      <c r="IR5" s="157" t="s">
        <v>139</v>
      </c>
      <c r="IS5" s="158"/>
      <c r="IT5" s="158"/>
      <c r="IU5" s="158"/>
      <c r="IV5" s="158"/>
      <c r="IW5" s="158"/>
      <c r="IX5" s="158"/>
      <c r="IY5" s="159"/>
      <c r="JA5" s="169" t="s">
        <v>32</v>
      </c>
      <c r="JB5" s="170"/>
      <c r="JC5" s="170"/>
      <c r="JD5" s="171"/>
      <c r="JF5" s="166" t="s">
        <v>97</v>
      </c>
      <c r="JG5" s="167"/>
      <c r="JH5" s="167"/>
      <c r="JI5" s="168"/>
    </row>
    <row r="6" spans="1:269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42" t="s">
        <v>4</v>
      </c>
      <c r="JB6" s="46" t="s">
        <v>31</v>
      </c>
      <c r="JC6" s="46" t="s">
        <v>24</v>
      </c>
      <c r="JD6" s="47" t="s">
        <v>37</v>
      </c>
      <c r="JF6" s="104" t="s">
        <v>4</v>
      </c>
    </row>
    <row r="7" spans="1:269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2"/>
      <c r="HI7" s="143"/>
      <c r="HJ7" s="143"/>
      <c r="HK7" s="143"/>
      <c r="HL7" s="38"/>
      <c r="HM7" s="38"/>
      <c r="HN7" s="38"/>
      <c r="HO7" s="31"/>
      <c r="HQ7" s="142"/>
      <c r="HR7" s="143"/>
      <c r="HS7" s="143"/>
      <c r="HT7" s="143"/>
      <c r="HU7" s="38"/>
      <c r="HV7" s="38"/>
      <c r="HW7" s="38"/>
      <c r="HX7" s="31"/>
      <c r="HZ7" s="142"/>
      <c r="IA7" s="143"/>
      <c r="IB7" s="143"/>
      <c r="IC7" s="143"/>
      <c r="ID7" s="38"/>
      <c r="IE7" s="38"/>
      <c r="IF7" s="38"/>
      <c r="IG7" s="31"/>
      <c r="II7" s="142"/>
      <c r="IJ7" s="143"/>
      <c r="IK7" s="143"/>
      <c r="IL7" s="143"/>
      <c r="IM7" s="38"/>
      <c r="IN7" s="38"/>
      <c r="IO7" s="38"/>
      <c r="IP7" s="31"/>
      <c r="IR7" s="142"/>
      <c r="IS7" s="143"/>
      <c r="IT7" s="143"/>
      <c r="IU7" s="143"/>
      <c r="IV7" s="38"/>
      <c r="IW7" s="38"/>
      <c r="IX7" s="38"/>
      <c r="IY7" s="31"/>
      <c r="JA7" s="149"/>
      <c r="JB7" s="150"/>
      <c r="JC7" s="150"/>
      <c r="JD7" s="151"/>
      <c r="JF7" s="115"/>
    </row>
    <row r="8" spans="1:269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4"/>
      <c r="HI8" s="145"/>
      <c r="HJ8" s="145"/>
      <c r="HK8" s="145"/>
      <c r="HL8" s="39"/>
      <c r="HM8" s="39"/>
      <c r="HN8" s="39"/>
      <c r="HO8" s="10"/>
      <c r="HQ8" s="144"/>
      <c r="HR8" s="145"/>
      <c r="HS8" s="145"/>
      <c r="HT8" s="145"/>
      <c r="HU8" s="39"/>
      <c r="HV8" s="39"/>
      <c r="HW8" s="39"/>
      <c r="HX8" s="10"/>
      <c r="HZ8" s="144"/>
      <c r="IA8" s="145"/>
      <c r="IB8" s="145"/>
      <c r="IC8" s="145"/>
      <c r="ID8" s="39"/>
      <c r="IE8" s="39"/>
      <c r="IF8" s="39"/>
      <c r="IG8" s="10"/>
      <c r="II8" s="144"/>
      <c r="IJ8" s="145"/>
      <c r="IK8" s="145"/>
      <c r="IL8" s="145"/>
      <c r="IM8" s="39"/>
      <c r="IN8" s="39"/>
      <c r="IO8" s="39"/>
      <c r="IP8" s="10"/>
      <c r="IR8" s="144"/>
      <c r="IS8" s="145"/>
      <c r="IT8" s="145"/>
      <c r="IU8" s="145"/>
      <c r="IV8" s="39"/>
      <c r="IW8" s="39"/>
      <c r="IX8" s="39"/>
      <c r="IY8" s="10"/>
      <c r="JA8" s="146"/>
      <c r="JB8" s="45"/>
      <c r="JC8" s="45"/>
      <c r="JD8" s="43"/>
      <c r="JF8" s="115"/>
    </row>
    <row r="9" spans="1:269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31"/>
      <c r="JF9" s="115"/>
    </row>
    <row r="10" spans="1:269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3">IF(IJ10="",IT10-ABS($G10),IT10-IJ10)</f>
        <v>0</v>
      </c>
      <c r="IW10" s="39">
        <f>IF(IK10="",IU10-$E10,IU10-IK10)</f>
        <v>0</v>
      </c>
      <c r="IX10" s="39">
        <f t="shared" ref="IX10:IX14" si="104">IF(II10="",$F10-IS10,II10-IS10)</f>
        <v>0</v>
      </c>
      <c r="IY10" s="10">
        <f t="shared" ref="IY10" si="105">IR10-IU10</f>
        <v>0</v>
      </c>
      <c r="JA10" s="146"/>
      <c r="JB10" s="45"/>
      <c r="JC10" s="45"/>
      <c r="JD10" s="43"/>
      <c r="JF10" s="115">
        <f>IT10-ABS(AL10)</f>
        <v>-639411.63717973791</v>
      </c>
    </row>
    <row r="11" spans="1:269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106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107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108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109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110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111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112">IF(GS11="",HB11-$E11,HB11-GS11)</f>
        <v>-1478.5932971335715</v>
      </c>
      <c r="HE11" s="38">
        <f t="shared" si="89"/>
        <v>131711.52827150887</v>
      </c>
      <c r="HF11" s="31">
        <v>1907585.4140858699</v>
      </c>
      <c r="HH11" s="142">
        <v>2665090.8770399811</v>
      </c>
      <c r="HI11" s="143">
        <v>2663515.1233708914</v>
      </c>
      <c r="HJ11" s="143">
        <v>1575.7536690896377</v>
      </c>
      <c r="HK11" s="143">
        <v>-549634.57236898271</v>
      </c>
      <c r="HL11" s="38">
        <f>IF(HA11="",HJ11-ABS($G11),HJ11-HA11)</f>
        <v>-2937.1237783809192</v>
      </c>
      <c r="HM11" s="38">
        <f t="shared" ref="HM11:HM14" si="113">IF(HB11="",HK11-$E11,HK11-HB11)</f>
        <v>1161.820490264683</v>
      </c>
      <c r="HN11" s="38">
        <f t="shared" si="92"/>
        <v>-317407.04256581049</v>
      </c>
      <c r="HO11" s="31">
        <v>1907585.4140858699</v>
      </c>
      <c r="HQ11" s="142">
        <v>2434089.3666091515</v>
      </c>
      <c r="HR11" s="143">
        <v>2432141.0521860104</v>
      </c>
      <c r="HS11" s="143">
        <v>1948.3144231410697</v>
      </c>
      <c r="HT11" s="143">
        <v>-552821.41536223737</v>
      </c>
      <c r="HU11" s="38">
        <f>IF(HJ11="",HS11-ABS($G11),HS11-HJ11)</f>
        <v>372.56075405143201</v>
      </c>
      <c r="HV11" s="38">
        <f t="shared" ref="HV11:HV14" si="114">IF(HK11="",HT11-$E11,HT11-HK11)</f>
        <v>-3186.8429932546569</v>
      </c>
      <c r="HW11" s="38">
        <f t="shared" si="95"/>
        <v>231374.07118488103</v>
      </c>
      <c r="HX11" s="31">
        <v>1907585.4140858699</v>
      </c>
      <c r="HZ11" s="142">
        <v>2483499.2409428144</v>
      </c>
      <c r="IA11" s="143">
        <v>2481293.2903085537</v>
      </c>
      <c r="IB11" s="143">
        <v>2205.9506342606619</v>
      </c>
      <c r="IC11" s="143">
        <v>-553527.81073289597</v>
      </c>
      <c r="ID11" s="38">
        <f>IF(HS11="",IB11-ABS($G11),IB11-HS11)</f>
        <v>257.63621111959219</v>
      </c>
      <c r="IE11" s="38">
        <f t="shared" ref="IE11:IE14" si="115">IF(HT11="",IC11-$E11,IC11-HT11)</f>
        <v>-706.3953706586035</v>
      </c>
      <c r="IF11" s="38">
        <f t="shared" si="98"/>
        <v>-49152.23812254332</v>
      </c>
      <c r="IG11" s="31">
        <v>1907585.4140858699</v>
      </c>
      <c r="II11" s="142">
        <v>2533316.823335737</v>
      </c>
      <c r="IJ11" s="143">
        <v>2531216.2329306384</v>
      </c>
      <c r="IK11" s="143">
        <v>2100.5904050986283</v>
      </c>
      <c r="IL11" s="143">
        <v>-554892.13897054759</v>
      </c>
      <c r="IM11" s="38">
        <f>IF(IA11="",IK11-ABS($G11),IK11-IA11)</f>
        <v>-2479192.6999034551</v>
      </c>
      <c r="IN11" s="38">
        <f t="shared" ref="IN11:IN14" si="116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142">
        <v>2238411.6796172238</v>
      </c>
      <c r="IS11" s="143">
        <v>2238012.4576798622</v>
      </c>
      <c r="IT11" s="143">
        <v>399.22193736163899</v>
      </c>
      <c r="IU11" s="143">
        <v>-413108.78344359115</v>
      </c>
      <c r="IV11" s="38">
        <f>IF(IJ11="",IT11-ABS($G11),IT11-IJ11)</f>
        <v>-2530817.0109932767</v>
      </c>
      <c r="IW11" s="38">
        <f t="shared" ref="IW11:IW14" si="117">IF(IK11="",IU11-$E11,IU11-IK11)</f>
        <v>-415209.37384868978</v>
      </c>
      <c r="IX11" s="38">
        <f t="shared" si="104"/>
        <v>295304.36565587483</v>
      </c>
      <c r="IY11" s="31">
        <v>1907585.4140858699</v>
      </c>
      <c r="JA11" s="25">
        <f>IT11-ABS($G11)</f>
        <v>-1328817.1705647283</v>
      </c>
      <c r="JB11" s="26">
        <f>IS11-ABS($F11)</f>
        <v>2037987.7175288352</v>
      </c>
      <c r="JC11" s="26">
        <f>IR11-ABS($E11)</f>
        <v>709170.54696411383</v>
      </c>
      <c r="JD11" s="31">
        <f>$E11-IU11</f>
        <v>1942349.9160967011</v>
      </c>
      <c r="JF11" s="115">
        <f>IT11-ABS(AL11)</f>
        <v>-608944.48072118685</v>
      </c>
    </row>
    <row r="12" spans="1:269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118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19">IF(EP12="",EY12-ABS($G12),EY12-EP12)</f>
        <v>1115.1984480040846</v>
      </c>
      <c r="FB12" s="39">
        <f t="shared" si="106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20">IF(EY12="",FH12-ABS($G12),FH12-EY12)</f>
        <v>-10405.92381169775</v>
      </c>
      <c r="FK12" s="39">
        <f t="shared" si="107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21">IF(FH12="",FQ12-ABS($G12),FQ12-FH12)</f>
        <v>-124.46239207847975</v>
      </c>
      <c r="FT12" s="39">
        <f t="shared" si="108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22">IF(FQ12="",FZ12-ABS($G12),FZ12-FQ12)</f>
        <v>-2.8765417004469782</v>
      </c>
      <c r="GC12" s="39">
        <f t="shared" si="109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23">IF(FZ12="",GI12-ABS($G12),GI12-FZ12)</f>
        <v>-3.3539022332988679</v>
      </c>
      <c r="GL12" s="39">
        <f t="shared" si="110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24">IF(GI12="",GR12-ABS($G12),GR12-GI12)</f>
        <v>-1.2113535106182098</v>
      </c>
      <c r="GU12" s="39">
        <f t="shared" si="111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25">IF(GR12="",HA12-ABS($G12),HA12-GR12)</f>
        <v>-3.6606734152883291E-2</v>
      </c>
      <c r="HD12" s="39">
        <f t="shared" si="112"/>
        <v>64607.913873529804</v>
      </c>
      <c r="HE12" s="39">
        <f t="shared" si="89"/>
        <v>281891.93669323064</v>
      </c>
      <c r="HF12" s="10">
        <f>GY12-HB12</f>
        <v>1305098.884216784</v>
      </c>
      <c r="HH12" s="144">
        <v>1191046.4328481166</v>
      </c>
      <c r="HI12" s="145">
        <v>1191046.4328474905</v>
      </c>
      <c r="HJ12" s="145">
        <v>6.2608160078525543E-7</v>
      </c>
      <c r="HK12" s="145">
        <v>-126629.05553279803</v>
      </c>
      <c r="HL12" s="39">
        <f t="shared" ref="HL12" si="126">IF(HA12="",HJ12-ABS($G12),HJ12-HA12)</f>
        <v>-3.0441419221460819E-4</v>
      </c>
      <c r="HM12" s="39">
        <f t="shared" si="113"/>
        <v>-195.23327703330142</v>
      </c>
      <c r="HN12" s="39">
        <f t="shared" si="92"/>
        <v>-12381.371191511396</v>
      </c>
      <c r="HO12" s="10">
        <f>HH12-HK12</f>
        <v>1317675.4883809146</v>
      </c>
      <c r="HQ12" s="144">
        <v>1158442.7611067486</v>
      </c>
      <c r="HR12" s="145">
        <v>1158442.7611067486</v>
      </c>
      <c r="HS12" s="145">
        <v>0</v>
      </c>
      <c r="HT12" s="145">
        <v>-126935.09378650127</v>
      </c>
      <c r="HU12" s="39">
        <f t="shared" ref="HU12" si="127">IF(HJ12="",HS12-ABS($G12),HS12-HJ12)</f>
        <v>-6.2608160078525543E-7</v>
      </c>
      <c r="HV12" s="39">
        <f t="shared" si="114"/>
        <v>-306.03825370324193</v>
      </c>
      <c r="HW12" s="39">
        <f t="shared" si="95"/>
        <v>32603.671740741935</v>
      </c>
      <c r="HX12" s="10">
        <f>HQ12-HT12</f>
        <v>1285377.8548932499</v>
      </c>
      <c r="HZ12" s="144">
        <v>699153.74541993125</v>
      </c>
      <c r="IA12" s="145">
        <v>699153.74541993125</v>
      </c>
      <c r="IB12" s="145">
        <v>0</v>
      </c>
      <c r="IC12" s="145">
        <v>-63696.216404828752</v>
      </c>
      <c r="ID12" s="39">
        <f t="shared" ref="ID12" si="128">IF(HS12="",IB12-ABS($G12),IB12-HS12)</f>
        <v>0</v>
      </c>
      <c r="IE12" s="39">
        <f t="shared" si="115"/>
        <v>63238.877381672515</v>
      </c>
      <c r="IF12" s="39">
        <f t="shared" si="98"/>
        <v>459289.01568681735</v>
      </c>
      <c r="IG12" s="10">
        <f>HZ12-IC12</f>
        <v>762849.96182475996</v>
      </c>
      <c r="II12" s="144">
        <v>701141.34643504117</v>
      </c>
      <c r="IJ12" s="145">
        <v>701141.34643504117</v>
      </c>
      <c r="IK12" s="145">
        <v>0</v>
      </c>
      <c r="IL12" s="145">
        <v>-63877.296267754835</v>
      </c>
      <c r="IM12" s="39">
        <f t="shared" ref="IM12" si="129">IF(IA12="",IK12-ABS($G12),IK12-IA12)</f>
        <v>-699153.74541993125</v>
      </c>
      <c r="IN12" s="39">
        <f t="shared" si="116"/>
        <v>-63877.296267754835</v>
      </c>
      <c r="IO12" s="39">
        <f t="shared" si="101"/>
        <v>-1987.6010151099181</v>
      </c>
      <c r="IP12" s="10">
        <f>II12-IL12</f>
        <v>765018.64270279603</v>
      </c>
      <c r="IR12" s="144">
        <v>702884.98290511291</v>
      </c>
      <c r="IS12" s="145">
        <v>702884.98290511291</v>
      </c>
      <c r="IT12" s="145">
        <v>0</v>
      </c>
      <c r="IU12" s="145">
        <v>-64036.149805559071</v>
      </c>
      <c r="IV12" s="39">
        <f t="shared" ref="IV12" si="130">IF(IJ12="",IT12-ABS($G12),IT12-IJ12)</f>
        <v>-701141.34643504117</v>
      </c>
      <c r="IW12" s="39">
        <f t="shared" si="117"/>
        <v>-64036.149805559071</v>
      </c>
      <c r="IX12" s="39">
        <f t="shared" si="104"/>
        <v>-1743.6364700717386</v>
      </c>
      <c r="IY12" s="10">
        <f>IR12-IU12</f>
        <v>766921.13271067198</v>
      </c>
      <c r="JA12" s="146">
        <f>IT12-ABS($G12)</f>
        <v>-1827361.9317906599</v>
      </c>
      <c r="JB12" s="45">
        <f>IS12-ABS($F12)</f>
        <v>702884.98290511291</v>
      </c>
      <c r="JC12" s="45">
        <f>IR12-ABS($E12)</f>
        <v>-1124476.948885547</v>
      </c>
      <c r="JD12" s="43">
        <f>$E12-IU12</f>
        <v>1891398.081596219</v>
      </c>
      <c r="JF12" s="115">
        <f>IT12-ABS(AL12)</f>
        <v>-993209.78163609246</v>
      </c>
    </row>
    <row r="13" spans="1:269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3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3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3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3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106"/>
        <v>213224.79100252921</v>
      </c>
      <c r="FC13" s="38">
        <f t="shared" si="71"/>
        <v>1547532.6360165263</v>
      </c>
      <c r="FD13" s="31">
        <f t="shared" ref="FD13:FD16" si="13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107"/>
        <v>83091.63591956906</v>
      </c>
      <c r="FL13" s="38">
        <f t="shared" si="74"/>
        <v>-2927423.3349823374</v>
      </c>
      <c r="FM13" s="31">
        <f t="shared" ref="FM13:FM16" si="13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108"/>
        <v>21643.386220075656</v>
      </c>
      <c r="FU13" s="38">
        <f t="shared" si="77"/>
        <v>-1908583.7131343428</v>
      </c>
      <c r="FV13" s="31">
        <f t="shared" ref="FV13:FV16" si="13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109"/>
        <v>185844.60476738308</v>
      </c>
      <c r="GD13" s="38">
        <f t="shared" si="80"/>
        <v>184046.18181146588</v>
      </c>
      <c r="GE13" s="31">
        <f t="shared" ref="GE13:GE16" si="13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110"/>
        <v>-5555.2182095805183</v>
      </c>
      <c r="GM13" s="38">
        <f t="shared" si="83"/>
        <v>548673.34356949665</v>
      </c>
      <c r="GN13" s="31">
        <f t="shared" ref="GN13:GN16" si="139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111"/>
        <v>13245.403592199087</v>
      </c>
      <c r="GV13" s="38">
        <f t="shared" si="86"/>
        <v>-1428902.5040849121</v>
      </c>
      <c r="GW13" s="31">
        <f t="shared" ref="GW13:GW16" si="140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112"/>
        <v>179867.89070981229</v>
      </c>
      <c r="HE13" s="38">
        <f t="shared" si="89"/>
        <v>775079.77218915336</v>
      </c>
      <c r="HF13" s="31">
        <f t="shared" ref="HF13:HF16" si="141">GY13-HB13</f>
        <v>9344908.4387980755</v>
      </c>
      <c r="HH13" s="142">
        <v>8337004.0648948271</v>
      </c>
      <c r="HI13" s="143">
        <v>8281007.9662992349</v>
      </c>
      <c r="HJ13" s="143">
        <v>55996.098595592193</v>
      </c>
      <c r="HK13" s="143">
        <v>-2150152.9200112666</v>
      </c>
      <c r="HL13" s="26">
        <f>IF(HA13="",HJ13-ABS($G13),HJ13-HA13)</f>
        <v>-42005.606816275045</v>
      </c>
      <c r="HM13" s="38">
        <f t="shared" si="113"/>
        <v>9649.3832992180251</v>
      </c>
      <c r="HN13" s="38">
        <f t="shared" si="92"/>
        <v>-1193903.5362235112</v>
      </c>
      <c r="HO13" s="31">
        <f t="shared" ref="HO13:HO16" si="142">HH13-HK13</f>
        <v>10487156.984906094</v>
      </c>
      <c r="HQ13" s="142">
        <v>7533504.7678651959</v>
      </c>
      <c r="HR13" s="143">
        <v>7447407.5980362203</v>
      </c>
      <c r="HS13" s="143">
        <v>86097.169828975573</v>
      </c>
      <c r="HT13" s="143">
        <v>-2166499.5075134095</v>
      </c>
      <c r="HU13" s="26">
        <f>IF(HJ13="",HS13-ABS($G13),HS13-HJ13)</f>
        <v>30101.07123338338</v>
      </c>
      <c r="HV13" s="38">
        <f t="shared" si="114"/>
        <v>-16346.58750214288</v>
      </c>
      <c r="HW13" s="38">
        <f t="shared" si="95"/>
        <v>833600.36826301459</v>
      </c>
      <c r="HX13" s="31">
        <f t="shared" ref="HX13:HX16" si="143">HQ13-HT13</f>
        <v>9700004.2753786054</v>
      </c>
      <c r="HZ13" s="142">
        <v>7103837.1630944619</v>
      </c>
      <c r="IA13" s="143">
        <v>6998958.9527484812</v>
      </c>
      <c r="IB13" s="143">
        <v>104878.21034598071</v>
      </c>
      <c r="IC13" s="143">
        <v>-1981361.8465601462</v>
      </c>
      <c r="ID13" s="26">
        <f>IF(HS13="",IB13-ABS($G13),IB13-HS13)</f>
        <v>18781.040517005138</v>
      </c>
      <c r="IE13" s="38">
        <f t="shared" si="115"/>
        <v>185137.66095326329</v>
      </c>
      <c r="IF13" s="38">
        <f t="shared" si="98"/>
        <v>448448.64528773911</v>
      </c>
      <c r="IG13" s="31">
        <f t="shared" ref="IG13:IG16" si="144">HZ13-IC13</f>
        <v>9085199.0096546076</v>
      </c>
      <c r="II13" s="142">
        <v>7211541.6311587906</v>
      </c>
      <c r="IJ13" s="143">
        <v>7093020.0571717452</v>
      </c>
      <c r="IK13" s="143">
        <v>118521.57398704533</v>
      </c>
      <c r="IL13" s="143">
        <v>-1985826.70864372</v>
      </c>
      <c r="IM13" s="26">
        <f>IF(IA13="",IK13-ABS($G13),IK13-IA13)</f>
        <v>-6880437.3787614359</v>
      </c>
      <c r="IN13" s="38">
        <f t="shared" si="116"/>
        <v>-2090704.9189897007</v>
      </c>
      <c r="IO13" s="38">
        <f t="shared" si="101"/>
        <v>10817.10592271667</v>
      </c>
      <c r="IP13" s="31">
        <f t="shared" ref="IP13:IP16" si="145">II13-IL13</f>
        <v>9197368.339802511</v>
      </c>
      <c r="IR13" s="142">
        <v>8047684.4203688363</v>
      </c>
      <c r="IS13" s="143">
        <v>7976466.7752722297</v>
      </c>
      <c r="IT13" s="143">
        <v>71217.645096606575</v>
      </c>
      <c r="IU13" s="143">
        <v>-1982015.2707443831</v>
      </c>
      <c r="IV13" s="26">
        <f>IF(IJ13="",IT13-ABS($G13),IT13-IJ13)</f>
        <v>-7021802.4120751387</v>
      </c>
      <c r="IW13" s="38">
        <f t="shared" si="117"/>
        <v>-2100536.8447314287</v>
      </c>
      <c r="IX13" s="38">
        <f t="shared" si="104"/>
        <v>-764925.14411343914</v>
      </c>
      <c r="IY13" s="31">
        <f t="shared" ref="IY13:IY14" si="146">IR13-IU13</f>
        <v>10029699.691113219</v>
      </c>
      <c r="JA13" s="25">
        <f>IT13-ABS($G13)</f>
        <v>-3019001.3965537334</v>
      </c>
      <c r="JB13" s="26">
        <f>IS13-ABS($F13)</f>
        <v>5091784.3442807598</v>
      </c>
      <c r="JC13" s="26">
        <f>IR13-ABS($E13)</f>
        <v>2072782.9477270264</v>
      </c>
      <c r="JD13" s="31">
        <f>$E13-IU13</f>
        <v>7956916.7433861932</v>
      </c>
      <c r="JF13" s="115">
        <f>IT13-ABS(AL13)</f>
        <v>-1743819.9769279091</v>
      </c>
    </row>
    <row r="14" spans="1:269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47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3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106"/>
        <v>141121.52217428503</v>
      </c>
      <c r="FC14" s="39">
        <f t="shared" si="71"/>
        <v>1083272.8452115685</v>
      </c>
      <c r="FD14" s="10">
        <f t="shared" si="13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107"/>
        <v>54993.690394950099</v>
      </c>
      <c r="FL14" s="39">
        <f t="shared" si="74"/>
        <v>-2049196.3344876363</v>
      </c>
      <c r="FM14" s="10">
        <f t="shared" si="13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108"/>
        <v>14324.542629505275</v>
      </c>
      <c r="FU14" s="39">
        <f t="shared" si="77"/>
        <v>-1336008.5991940396</v>
      </c>
      <c r="FV14" s="10">
        <f t="shared" si="13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109"/>
        <v>123000.11358594964</v>
      </c>
      <c r="GD14" s="39">
        <f t="shared" si="80"/>
        <v>128832.32726802491</v>
      </c>
      <c r="GE14" s="10">
        <f t="shared" si="13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110"/>
        <v>-3676.6871528413612</v>
      </c>
      <c r="GM14" s="39">
        <f t="shared" si="83"/>
        <v>384071.34049864858</v>
      </c>
      <c r="GN14" s="10">
        <f t="shared" si="139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111"/>
        <v>8766.3892549984157</v>
      </c>
      <c r="GV14" s="39">
        <f t="shared" si="86"/>
        <v>-1000231.7528594397</v>
      </c>
      <c r="GW14" s="10">
        <f t="shared" si="140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112"/>
        <v>119044.46198728168</v>
      </c>
      <c r="HE14" s="39">
        <f t="shared" si="89"/>
        <v>542555.84053240716</v>
      </c>
      <c r="HF14" s="10">
        <f t="shared" si="141"/>
        <v>6459026.2230417589</v>
      </c>
      <c r="HH14" s="144">
        <v>5835902.8454263769</v>
      </c>
      <c r="HI14" s="145">
        <v>5796705.5764094638</v>
      </c>
      <c r="HJ14" s="145">
        <v>39197.269016913138</v>
      </c>
      <c r="HK14" s="145">
        <v>-1423065.5429549674</v>
      </c>
      <c r="HL14" s="11">
        <f>IF(HA14="",HJ14-ABS($G14),HJ14-HA14)</f>
        <v>-29403.924771392718</v>
      </c>
      <c r="HM14" s="39">
        <f t="shared" si="113"/>
        <v>6386.3852454780135</v>
      </c>
      <c r="HN14" s="39">
        <f t="shared" si="92"/>
        <v>-835732.47535645589</v>
      </c>
      <c r="HO14" s="10">
        <f t="shared" si="142"/>
        <v>7258968.3883813443</v>
      </c>
      <c r="HQ14" s="144">
        <v>5273453.3375056386</v>
      </c>
      <c r="HR14" s="145">
        <v>5213185.3186253533</v>
      </c>
      <c r="HS14" s="145">
        <v>60268.018880285323</v>
      </c>
      <c r="HT14" s="145">
        <v>-1433884.4317896629</v>
      </c>
      <c r="HU14" s="11">
        <f>IF(HJ14="",HS14-ABS($G14),HS14-HJ14)</f>
        <v>21070.749863372184</v>
      </c>
      <c r="HV14" s="39">
        <f t="shared" si="114"/>
        <v>-10818.888834695565</v>
      </c>
      <c r="HW14" s="39">
        <f t="shared" si="95"/>
        <v>583520.25778411049</v>
      </c>
      <c r="HX14" s="10">
        <f t="shared" si="143"/>
        <v>6707337.7692953013</v>
      </c>
      <c r="HZ14" s="144">
        <v>4972686.0141661242</v>
      </c>
      <c r="IA14" s="145">
        <v>4899271.266923937</v>
      </c>
      <c r="IB14" s="145">
        <v>73414.74724218715</v>
      </c>
      <c r="IC14" s="145">
        <v>-1311352.2046378898</v>
      </c>
      <c r="ID14" s="11">
        <f>IF(HS14="",IB14-ABS($G14),IB14-HS14)</f>
        <v>13146.728361901827</v>
      </c>
      <c r="IE14" s="39">
        <f t="shared" si="115"/>
        <v>122532.22715177317</v>
      </c>
      <c r="IF14" s="39">
        <f t="shared" si="98"/>
        <v>313914.05170141626</v>
      </c>
      <c r="IG14" s="10">
        <f t="shared" si="144"/>
        <v>6284038.2188040139</v>
      </c>
      <c r="II14" s="144">
        <v>5048079.141811152</v>
      </c>
      <c r="IJ14" s="145">
        <v>4965114.0400202228</v>
      </c>
      <c r="IK14" s="145">
        <v>82965.101790929213</v>
      </c>
      <c r="IL14" s="145">
        <v>-1314307.2462658808</v>
      </c>
      <c r="IM14" s="11">
        <f>IF(IA14="",IK14-ABS($G14),IK14-IA14)</f>
        <v>-4816306.1651330078</v>
      </c>
      <c r="IN14" s="39">
        <f t="shared" si="116"/>
        <v>-1387721.9935080679</v>
      </c>
      <c r="IO14" s="39">
        <f t="shared" si="101"/>
        <v>7571.9741459013894</v>
      </c>
      <c r="IP14" s="10">
        <f t="shared" si="145"/>
        <v>6362386.3880770328</v>
      </c>
      <c r="IR14" s="144">
        <v>5633379.0942581855</v>
      </c>
      <c r="IS14" s="145">
        <v>5583526.7426905604</v>
      </c>
      <c r="IT14" s="145">
        <v>49852.351567625068</v>
      </c>
      <c r="IU14" s="145">
        <v>-1311784.6694327733</v>
      </c>
      <c r="IV14" s="11">
        <f>IF(IJ14="",IT14-ABS($G14),IT14-IJ14)</f>
        <v>-4915261.6884525977</v>
      </c>
      <c r="IW14" s="39">
        <f t="shared" si="117"/>
        <v>-1394749.7712237025</v>
      </c>
      <c r="IX14" s="39">
        <f t="shared" si="104"/>
        <v>-535447.60087940842</v>
      </c>
      <c r="IY14" s="10">
        <f t="shared" si="146"/>
        <v>6945163.7636909587</v>
      </c>
      <c r="JA14" s="146">
        <f>IT14-ABS($G14)</f>
        <v>-2145750.4496387849</v>
      </c>
      <c r="JB14" s="45">
        <f>IS14-ABS($F14)</f>
        <v>3806625.8326496202</v>
      </c>
      <c r="JC14" s="45">
        <f>IR14-ABS($E14)</f>
        <v>1660875.3830108354</v>
      </c>
      <c r="JD14" s="43">
        <f>$E14-IU14</f>
        <v>5284288.3806801233</v>
      </c>
      <c r="JF14" s="115">
        <f>IT14-ABS(AL14)</f>
        <v>-1220673.9838495357</v>
      </c>
    </row>
    <row r="15" spans="1:269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3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3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3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39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40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41"/>
        <v>0</v>
      </c>
      <c r="HH15" s="142">
        <v>0</v>
      </c>
      <c r="HI15" s="143">
        <v>0</v>
      </c>
      <c r="HJ15" s="143">
        <v>0</v>
      </c>
      <c r="HK15" s="143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42"/>
        <v>0</v>
      </c>
      <c r="HQ15" s="142">
        <v>0</v>
      </c>
      <c r="HR15" s="143">
        <v>0</v>
      </c>
      <c r="HS15" s="143">
        <v>0</v>
      </c>
      <c r="HT15" s="143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43"/>
        <v>0</v>
      </c>
      <c r="HZ15" s="142">
        <v>0</v>
      </c>
      <c r="IA15" s="143">
        <v>0</v>
      </c>
      <c r="IB15" s="143">
        <v>0</v>
      </c>
      <c r="IC15" s="143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44"/>
        <v>0</v>
      </c>
      <c r="II15" s="142">
        <v>0</v>
      </c>
      <c r="IJ15" s="143">
        <v>0</v>
      </c>
      <c r="IK15" s="143">
        <v>0</v>
      </c>
      <c r="IL15" s="143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5"/>
        <v>0</v>
      </c>
      <c r="IR15" s="142">
        <v>0</v>
      </c>
      <c r="IS15" s="143">
        <v>0</v>
      </c>
      <c r="IT15" s="143">
        <v>0</v>
      </c>
      <c r="IU15" s="143">
        <v>0</v>
      </c>
      <c r="IV15" s="26">
        <f>IF(IJ15="",IT15-ABS('VT lissée Caps depuis 29-12-17'!$T20),IT15-IJ15)</f>
        <v>0</v>
      </c>
      <c r="IW15" s="38">
        <f>IF(IK15="",IU15-'VT lissée Caps depuis 29-12-17'!$R20,IU15-IK15)</f>
        <v>0</v>
      </c>
      <c r="IX15" s="38">
        <f>IF(II15="",'VT lissée Caps depuis 29-12-17'!$S20-IS15,II15-IS15)</f>
        <v>0</v>
      </c>
      <c r="IY15" s="31">
        <f t="shared" ref="IY13:IY16" si="148">IR15-IU15</f>
        <v>0</v>
      </c>
      <c r="JA15" s="25"/>
      <c r="JB15" s="26"/>
      <c r="JC15" s="26"/>
      <c r="JD15" s="31"/>
      <c r="JF15" s="115">
        <f>IT15-ABS(AL15)</f>
        <v>0</v>
      </c>
    </row>
    <row r="16" spans="1:269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3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3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3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39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40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41"/>
        <v>0</v>
      </c>
      <c r="HH16" s="144">
        <v>0</v>
      </c>
      <c r="HI16" s="145">
        <v>0</v>
      </c>
      <c r="HJ16" s="145">
        <v>0</v>
      </c>
      <c r="HK16" s="145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42"/>
        <v>0</v>
      </c>
      <c r="HQ16" s="144">
        <v>0</v>
      </c>
      <c r="HR16" s="145">
        <v>0</v>
      </c>
      <c r="HS16" s="145">
        <v>0</v>
      </c>
      <c r="HT16" s="145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43"/>
        <v>0</v>
      </c>
      <c r="HZ16" s="144">
        <v>0</v>
      </c>
      <c r="IA16" s="145">
        <v>0</v>
      </c>
      <c r="IB16" s="145">
        <v>0</v>
      </c>
      <c r="IC16" s="145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44"/>
        <v>0</v>
      </c>
      <c r="II16" s="144">
        <v>0</v>
      </c>
      <c r="IJ16" s="145">
        <v>0</v>
      </c>
      <c r="IK16" s="145">
        <v>0</v>
      </c>
      <c r="IL16" s="145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5"/>
        <v>0</v>
      </c>
      <c r="IR16" s="144">
        <v>0</v>
      </c>
      <c r="IS16" s="145">
        <v>0</v>
      </c>
      <c r="IT16" s="145">
        <v>0</v>
      </c>
      <c r="IU16" s="145">
        <v>0</v>
      </c>
      <c r="IV16" s="11">
        <f>IF(IJ16="",IT16-ABS('VT lissée Caps depuis 29-12-17'!$T21),IT16-IJ16)</f>
        <v>0</v>
      </c>
      <c r="IW16" s="39">
        <f>IF(IK16="",IU16-'VT lissée Caps depuis 29-12-17'!$R21,IU16-IK16)</f>
        <v>0</v>
      </c>
      <c r="IX16" s="39">
        <f>IF(II16="",'VT lissée Caps depuis 29-12-17'!$S21-IS16,II16-IS16)</f>
        <v>0</v>
      </c>
      <c r="IY16" s="10">
        <f t="shared" si="148"/>
        <v>0</v>
      </c>
      <c r="JA16" s="146"/>
      <c r="JB16" s="45"/>
      <c r="JC16" s="45"/>
      <c r="JD16" s="43"/>
      <c r="JF16" s="115">
        <f>IT16-ABS(AL16)</f>
        <v>0</v>
      </c>
    </row>
    <row r="17" spans="1:267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49">IF(BD17="",BM17-ABS($G17),BM17-BD17)</f>
        <v>-2224567.603078383</v>
      </c>
      <c r="BP17" s="38">
        <f t="shared" ref="BP17" si="150">IF(BE17="",BN17-$E17,BN17-BE17)</f>
        <v>0</v>
      </c>
      <c r="BQ17" s="38">
        <f t="shared" ref="BQ17" si="151">IF(BC17="",$F17-BL17,BC17-BL17)</f>
        <v>0</v>
      </c>
      <c r="BR17" s="31">
        <f t="shared" ref="BR17" si="152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53">IF(BM17="",BV17-ABS($G17),BV17-BM17)</f>
        <v>-1780773.3887404138</v>
      </c>
      <c r="BY17" s="38">
        <f t="shared" ref="BY17" si="154">IF(BN17="",BW17-$E17,BW17-BN17)</f>
        <v>-35091.335237069987</v>
      </c>
      <c r="BZ17" s="38">
        <f t="shared" ref="BZ17" si="155">IF(BL17="",$F17-BU17,BL17-BU17)</f>
        <v>0</v>
      </c>
      <c r="CA17" s="31">
        <f t="shared" ref="CA17" si="156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57">IF(BV17="",CE17-ABS($G17),CE17-BV17)</f>
        <v>-1609615.6922880439</v>
      </c>
      <c r="CH17" s="38">
        <f t="shared" ref="CH17" si="158">IF(BW17="",CF17-$E17,CF17-BW17)</f>
        <v>32055.984844530001</v>
      </c>
      <c r="CI17" s="38">
        <f t="shared" ref="CI17" si="159">IF(BU17="",$F17-CD17,BU17-CD17)</f>
        <v>0</v>
      </c>
      <c r="CJ17" s="31">
        <f t="shared" ref="CJ17" si="160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61">IF(CE17="",CN17-ABS($G17),CN17-CE17)</f>
        <v>-1076990.4359696647</v>
      </c>
      <c r="CQ17" s="38">
        <f t="shared" ref="CQ17" si="162">IF(CF17="",CO17-$E17,CO17-CF17)</f>
        <v>-20929.906207849272</v>
      </c>
      <c r="CR17" s="38">
        <f t="shared" ref="CR17" si="163">IF(CD17="",$F17-CM17,CD17-CM17)</f>
        <v>0</v>
      </c>
      <c r="CS17" s="31">
        <f t="shared" ref="CS17" si="164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142"/>
      <c r="HI17" s="143"/>
      <c r="HJ17" s="143"/>
      <c r="HK17" s="143"/>
      <c r="HL17" s="26"/>
      <c r="HM17" s="38"/>
      <c r="HN17" s="38"/>
      <c r="HO17" s="31"/>
      <c r="HQ17" s="142"/>
      <c r="HR17" s="143"/>
      <c r="HS17" s="143"/>
      <c r="HT17" s="143"/>
      <c r="HU17" s="26"/>
      <c r="HV17" s="38"/>
      <c r="HW17" s="38"/>
      <c r="HX17" s="31"/>
      <c r="HZ17" s="142"/>
      <c r="IA17" s="143"/>
      <c r="IB17" s="143"/>
      <c r="IC17" s="143"/>
      <c r="ID17" s="26"/>
      <c r="IE17" s="38"/>
      <c r="IF17" s="38"/>
      <c r="IG17" s="31"/>
      <c r="II17" s="142"/>
      <c r="IJ17" s="143"/>
      <c r="IK17" s="143"/>
      <c r="IL17" s="143"/>
      <c r="IM17" s="26"/>
      <c r="IN17" s="38"/>
      <c r="IO17" s="38"/>
      <c r="IP17" s="31"/>
      <c r="IR17" s="142"/>
      <c r="IS17" s="143"/>
      <c r="IT17" s="143"/>
      <c r="IU17" s="143"/>
      <c r="IV17" s="26"/>
      <c r="IW17" s="38"/>
      <c r="IX17" s="38"/>
      <c r="IY17" s="31"/>
      <c r="JA17" s="25"/>
      <c r="JB17" s="26"/>
      <c r="JC17" s="26"/>
      <c r="JD17" s="31"/>
      <c r="JF17" s="115"/>
    </row>
    <row r="18" spans="1:267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65">SUM(AA7:AA16)</f>
        <v>15986406.296826748</v>
      </c>
      <c r="AB18" s="35">
        <f t="shared" si="165"/>
        <v>7036303.8629909353</v>
      </c>
      <c r="AC18" s="35">
        <f t="shared" si="165"/>
        <v>8950102.4338358119</v>
      </c>
      <c r="AD18" s="35">
        <f t="shared" si="165"/>
        <v>17670033.147662759</v>
      </c>
      <c r="AE18" s="41">
        <f t="shared" si="165"/>
        <v>-3021433.2919669393</v>
      </c>
      <c r="AF18" s="41">
        <f t="shared" si="165"/>
        <v>-601590.42013136903</v>
      </c>
      <c r="AG18" s="41">
        <f t="shared" si="165"/>
        <v>-1266334.8013360826</v>
      </c>
      <c r="AH18" s="36">
        <f t="shared" si="165"/>
        <v>-1683626.8508360132</v>
      </c>
      <c r="AJ18" s="37">
        <f t="shared" ref="AJ18:AQ18" si="166">SUM(AJ7:AJ16)</f>
        <v>13354220.896151558</v>
      </c>
      <c r="AK18" s="35">
        <f t="shared" si="166"/>
        <v>6188509.0909342328</v>
      </c>
      <c r="AL18" s="35">
        <f t="shared" si="166"/>
        <v>7165711.8052173248</v>
      </c>
      <c r="AM18" s="35">
        <f t="shared" si="166"/>
        <v>17093779.148049492</v>
      </c>
      <c r="AN18" s="41">
        <f t="shared" si="166"/>
        <v>-1784390.6286184874</v>
      </c>
      <c r="AO18" s="41">
        <f t="shared" si="166"/>
        <v>-576253.99961326888</v>
      </c>
      <c r="AP18" s="41">
        <f t="shared" si="166"/>
        <v>847794.77205670287</v>
      </c>
      <c r="AQ18" s="36">
        <f t="shared" si="166"/>
        <v>-3739558.2518979344</v>
      </c>
      <c r="AR18" s="19"/>
      <c r="AS18" s="37">
        <f t="shared" ref="AS18:AZ18" si="167">SUM(AS7:AS16)</f>
        <v>10692470.1508752</v>
      </c>
      <c r="AT18" s="35">
        <f t="shared" si="167"/>
        <v>4447725.7504339898</v>
      </c>
      <c r="AU18" s="35">
        <f t="shared" si="167"/>
        <v>6244744.4004412098</v>
      </c>
      <c r="AV18" s="35">
        <f t="shared" si="167"/>
        <v>16258324.116183681</v>
      </c>
      <c r="AW18" s="41">
        <f t="shared" si="167"/>
        <v>-1141967.4047761157</v>
      </c>
      <c r="AX18" s="41">
        <f t="shared" si="167"/>
        <v>-1056455.0318658119</v>
      </c>
      <c r="AY18" s="41">
        <f t="shared" si="167"/>
        <v>1740783.3405002425</v>
      </c>
      <c r="AZ18" s="36">
        <f t="shared" si="167"/>
        <v>-5565853.9653084809</v>
      </c>
      <c r="BB18" s="37">
        <f t="shared" ref="BB18:BI18" si="168">SUM(BB7:BB16)</f>
        <v>7749776.4792504171</v>
      </c>
      <c r="BC18" s="35">
        <f t="shared" si="168"/>
        <v>2828669.2326927325</v>
      </c>
      <c r="BD18" s="35">
        <f t="shared" si="168"/>
        <v>4921107.2465576846</v>
      </c>
      <c r="BE18" s="134">
        <f t="shared" si="168"/>
        <v>15079076.2564811</v>
      </c>
      <c r="BF18" s="41">
        <f t="shared" si="168"/>
        <v>-1323637.1538835249</v>
      </c>
      <c r="BG18" s="41">
        <f t="shared" si="168"/>
        <v>-1400247.8597025806</v>
      </c>
      <c r="BH18" s="41">
        <f t="shared" si="168"/>
        <v>1619056.5177412578</v>
      </c>
      <c r="BI18" s="36">
        <f t="shared" si="168"/>
        <v>-7329299.7772306828</v>
      </c>
      <c r="BK18" s="37">
        <f t="shared" ref="BK18:BR18" si="169">SUM(BK7:BK17)</f>
        <v>7766206.4461706262</v>
      </c>
      <c r="BL18" s="35">
        <f t="shared" si="169"/>
        <v>0</v>
      </c>
      <c r="BM18" s="35">
        <f t="shared" si="169"/>
        <v>7766206.4461706262</v>
      </c>
      <c r="BN18" s="134">
        <f t="shared" si="169"/>
        <v>21491179.4685583</v>
      </c>
      <c r="BO18" s="41">
        <f t="shared" si="169"/>
        <v>-4618269.9240650572</v>
      </c>
      <c r="BP18" s="41">
        <f t="shared" si="169"/>
        <v>-1272265.9116007991</v>
      </c>
      <c r="BQ18" s="41">
        <f t="shared" si="169"/>
        <v>2894013.4254927328</v>
      </c>
      <c r="BR18" s="36">
        <f t="shared" si="169"/>
        <v>-13724973.022387676</v>
      </c>
      <c r="BT18" s="37">
        <f t="shared" ref="BT18:CA18" si="170">SUM(BT7:BT17)</f>
        <v>4965120.8743027272</v>
      </c>
      <c r="BU18" s="35">
        <f t="shared" si="170"/>
        <v>0</v>
      </c>
      <c r="BV18" s="35">
        <f t="shared" si="170"/>
        <v>4965120.8743027272</v>
      </c>
      <c r="BW18" s="134">
        <f t="shared" si="170"/>
        <v>20112013.451266475</v>
      </c>
      <c r="BX18" s="41">
        <f t="shared" si="170"/>
        <v>-2801085.571867899</v>
      </c>
      <c r="BY18" s="41">
        <f t="shared" si="170"/>
        <v>-1600166.0172918274</v>
      </c>
      <c r="BZ18" s="41">
        <f t="shared" si="170"/>
        <v>0</v>
      </c>
      <c r="CA18" s="36">
        <f t="shared" si="170"/>
        <v>-15146892.576963745</v>
      </c>
      <c r="CC18" s="37">
        <f t="shared" ref="CC18:CJ18" si="171">SUM(CC7:CC17)</f>
        <v>2663628.315781116</v>
      </c>
      <c r="CD18" s="35">
        <f t="shared" si="171"/>
        <v>0</v>
      </c>
      <c r="CE18" s="35">
        <f t="shared" si="171"/>
        <v>2663628.315781116</v>
      </c>
      <c r="CF18" s="134">
        <f t="shared" si="171"/>
        <v>18882920.344026472</v>
      </c>
      <c r="CG18" s="41">
        <f t="shared" si="171"/>
        <v>-2301492.5585216112</v>
      </c>
      <c r="CH18" s="41">
        <f t="shared" si="171"/>
        <v>-1450093.1072399989</v>
      </c>
      <c r="CI18" s="41">
        <f t="shared" si="171"/>
        <v>0</v>
      </c>
      <c r="CJ18" s="36">
        <f t="shared" si="171"/>
        <v>-16219292.02824536</v>
      </c>
      <c r="CL18" s="37">
        <f t="shared" ref="CL18:CS18" si="172">SUM(CL7:CL17)</f>
        <v>1075300.2810488795</v>
      </c>
      <c r="CM18" s="35">
        <f t="shared" si="172"/>
        <v>0</v>
      </c>
      <c r="CN18" s="35">
        <f t="shared" si="172"/>
        <v>1075300.2810488795</v>
      </c>
      <c r="CO18" s="134">
        <f t="shared" si="172"/>
        <v>17475841.971597146</v>
      </c>
      <c r="CP18" s="41">
        <f t="shared" si="172"/>
        <v>-1588328.0347322365</v>
      </c>
      <c r="CQ18" s="41">
        <f t="shared" si="172"/>
        <v>-1628078.3724293292</v>
      </c>
      <c r="CR18" s="41">
        <f t="shared" si="172"/>
        <v>0</v>
      </c>
      <c r="CS18" s="36">
        <f t="shared" si="172"/>
        <v>-16400541.690548265</v>
      </c>
      <c r="CU18" s="37">
        <f t="shared" ref="CU18:DB18" si="173">SUM(CU7:CU17)</f>
        <v>1839347.9188996607</v>
      </c>
      <c r="CV18" s="35">
        <f t="shared" si="173"/>
        <v>0</v>
      </c>
      <c r="CW18" s="35">
        <f t="shared" si="173"/>
        <v>1839347.9188996607</v>
      </c>
      <c r="CX18" s="134">
        <f t="shared" si="173"/>
        <v>15336485.167217977</v>
      </c>
      <c r="CY18" s="41">
        <f t="shared" si="173"/>
        <v>764047.63785078132</v>
      </c>
      <c r="CZ18" s="41">
        <f t="shared" si="173"/>
        <v>-2139356.8043791661</v>
      </c>
      <c r="DA18" s="41">
        <f t="shared" si="173"/>
        <v>0</v>
      </c>
      <c r="DB18" s="36">
        <f t="shared" si="173"/>
        <v>-13497137.248318315</v>
      </c>
      <c r="DD18" s="37">
        <f t="shared" ref="DD18:DK18" si="174">SUM(DD7:DD17)</f>
        <v>5330413.5805654535</v>
      </c>
      <c r="DE18" s="35">
        <f t="shared" si="174"/>
        <v>0</v>
      </c>
      <c r="DF18" s="35">
        <f t="shared" si="174"/>
        <v>5330413.5805654535</v>
      </c>
      <c r="DG18" s="147">
        <f t="shared" si="174"/>
        <v>-9327497.9012515731</v>
      </c>
      <c r="DH18" s="41">
        <f t="shared" si="174"/>
        <v>3491065.6616657921</v>
      </c>
      <c r="DI18" s="41">
        <f t="shared" si="174"/>
        <v>-24663983.06846955</v>
      </c>
      <c r="DJ18" s="41">
        <f t="shared" si="174"/>
        <v>0</v>
      </c>
      <c r="DK18" s="36">
        <f t="shared" si="174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75">SUM(EE7:EE17)</f>
        <v>7706183.8894386766</v>
      </c>
      <c r="EF18" s="35">
        <f t="shared" si="175"/>
        <v>6810866.0959285349</v>
      </c>
      <c r="EG18" s="35">
        <f t="shared" si="175"/>
        <v>895317.79351014132</v>
      </c>
      <c r="EH18" s="147">
        <f t="shared" si="175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76">SUM(EN7:EN17)</f>
        <v>9025229.8106104918</v>
      </c>
      <c r="EO18" s="35">
        <f t="shared" si="176"/>
        <v>8298096.513403995</v>
      </c>
      <c r="EP18" s="35">
        <f t="shared" si="176"/>
        <v>727133.29720649729</v>
      </c>
      <c r="EQ18" s="147">
        <f t="shared" si="176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77">SUM(EW7:EW17)</f>
        <v>6373516.2887944626</v>
      </c>
      <c r="EX18" s="35">
        <f t="shared" si="177"/>
        <v>5104886.8667119006</v>
      </c>
      <c r="EY18" s="35">
        <f t="shared" si="177"/>
        <v>1268629.4220825618</v>
      </c>
      <c r="EZ18" s="147">
        <f t="shared" si="177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78">SUM(FF7:FF17)</f>
        <v>11937361.030216817</v>
      </c>
      <c r="FG18" s="35">
        <f t="shared" si="178"/>
        <v>11611922.908301823</v>
      </c>
      <c r="FH18" s="35">
        <f t="shared" si="178"/>
        <v>325438.12191499374</v>
      </c>
      <c r="FI18" s="147">
        <f t="shared" si="178"/>
        <v>-5198275.3334793374</v>
      </c>
      <c r="FJ18" s="152">
        <f t="shared" si="178"/>
        <v>-943191.30016756791</v>
      </c>
      <c r="FK18" s="41">
        <f t="shared" si="178"/>
        <v>156868.39731919943</v>
      </c>
      <c r="FL18" s="152">
        <f t="shared" si="178"/>
        <v>-6507036.0415899232</v>
      </c>
      <c r="FM18" s="36">
        <f t="shared" si="178"/>
        <v>16717243.744676674</v>
      </c>
      <c r="FO18" s="37">
        <f t="shared" ref="FO18" si="179">SUM(FO7:FO17)</f>
        <v>15827343.043407055</v>
      </c>
      <c r="FP18" s="35">
        <f t="shared" ref="FP18" si="180">SUM(FP7:FP17)</f>
        <v>15669486.759133212</v>
      </c>
      <c r="FQ18" s="35">
        <f t="shared" ref="FQ18" si="181">SUM(FQ7:FQ17)</f>
        <v>157856.28427384212</v>
      </c>
      <c r="FR18" s="147">
        <f t="shared" ref="FR18" si="182">SUM(FR7:FR17)</f>
        <v>-5157892.0967253689</v>
      </c>
      <c r="FS18" s="152">
        <f t="shared" ref="FS18" si="183">SUM(FS7:FS17)</f>
        <v>-167581.83764115162</v>
      </c>
      <c r="FT18" s="41">
        <f t="shared" ref="FT18" si="184">SUM(FT7:FT17)</f>
        <v>40383.236753968027</v>
      </c>
      <c r="FU18" s="152">
        <f t="shared" ref="FU18" si="185">SUM(FU7:FU17)</f>
        <v>-4057563.8508313899</v>
      </c>
      <c r="FV18" s="36">
        <f t="shared" ref="FV18" si="186">SUM(FV7:FV17)</f>
        <v>20066504.115491282</v>
      </c>
      <c r="FX18" s="37">
        <f t="shared" ref="FX18:GE18" si="187">SUM(FX7:FX17)</f>
        <v>15542840.976802904</v>
      </c>
      <c r="FY18" s="35">
        <f t="shared" si="187"/>
        <v>15377315.157316931</v>
      </c>
      <c r="FZ18" s="35">
        <f t="shared" si="187"/>
        <v>165525.81948597496</v>
      </c>
      <c r="GA18" s="147">
        <f t="shared" si="187"/>
        <v>-4784760.2378525967</v>
      </c>
      <c r="GB18" s="152">
        <f t="shared" si="187"/>
        <v>7669.5352121328469</v>
      </c>
      <c r="GC18" s="41">
        <f t="shared" si="187"/>
        <v>373131.85887277278</v>
      </c>
      <c r="GD18" s="152">
        <f t="shared" si="187"/>
        <v>292171.60181628354</v>
      </c>
      <c r="GE18" s="36">
        <f t="shared" si="187"/>
        <v>19423760.241949208</v>
      </c>
      <c r="GG18" s="37">
        <f t="shared" ref="GG18:GN18" si="188">SUM(GG7:GG17)</f>
        <v>14560786.010291299</v>
      </c>
      <c r="GH18" s="35">
        <f t="shared" si="188"/>
        <v>14339400.400520056</v>
      </c>
      <c r="GI18" s="35">
        <f t="shared" si="188"/>
        <v>221385.60977124306</v>
      </c>
      <c r="GJ18" s="147">
        <f t="shared" si="188"/>
        <v>-4795192.0473410869</v>
      </c>
      <c r="GK18" s="152">
        <f t="shared" si="188"/>
        <v>55859.7902852681</v>
      </c>
      <c r="GL18" s="41">
        <f t="shared" si="188"/>
        <v>-10431.809488490428</v>
      </c>
      <c r="GM18" s="152">
        <f t="shared" si="188"/>
        <v>1037914.7567968743</v>
      </c>
      <c r="GN18" s="36">
        <f t="shared" si="188"/>
        <v>18524389.072947107</v>
      </c>
      <c r="GP18" s="37">
        <f>SUM(GP7:GP17)</f>
        <v>17414842.426279426</v>
      </c>
      <c r="GQ18" s="35">
        <f t="shared" ref="GQ18:GW18" si="189">SUM(GQ7:GQ17)</f>
        <v>17304089.751276091</v>
      </c>
      <c r="GR18" s="35">
        <f t="shared" si="189"/>
        <v>110752.67500333348</v>
      </c>
      <c r="GS18" s="147">
        <f t="shared" si="189"/>
        <v>-4628526.1198994322</v>
      </c>
      <c r="GT18" s="152">
        <f t="shared" si="189"/>
        <v>-110632.93476790958</v>
      </c>
      <c r="GU18" s="41">
        <f t="shared" si="189"/>
        <v>166665.92744165464</v>
      </c>
      <c r="GV18" s="152">
        <f t="shared" si="189"/>
        <v>-2964689.3507560361</v>
      </c>
      <c r="GW18" s="36">
        <f t="shared" si="189"/>
        <v>20919745.905566633</v>
      </c>
      <c r="GY18" s="37">
        <f>SUM(GY7:GY17)</f>
        <v>15743966.450542476</v>
      </c>
      <c r="GZ18" s="35">
        <f t="shared" ref="GZ18:HF18" si="190">SUM(GZ7:GZ17)</f>
        <v>15572850.673589792</v>
      </c>
      <c r="HA18" s="35">
        <f t="shared" si="190"/>
        <v>171115.77695268393</v>
      </c>
      <c r="HB18" s="147">
        <f t="shared" si="190"/>
        <v>-4266484.4466259424</v>
      </c>
      <c r="HC18" s="152">
        <f t="shared" si="190"/>
        <v>60363.101949350443</v>
      </c>
      <c r="HD18" s="41">
        <f t="shared" si="190"/>
        <v>362041.67327349022</v>
      </c>
      <c r="HE18" s="152">
        <f t="shared" si="190"/>
        <v>1731239.0776863</v>
      </c>
      <c r="HF18" s="36">
        <f t="shared" si="190"/>
        <v>19016618.96014249</v>
      </c>
      <c r="HH18" s="37">
        <f>SUM(HH7:HH17)</f>
        <v>18029044.220209301</v>
      </c>
      <c r="HI18" s="35">
        <f t="shared" ref="HI18:HO18" si="191">SUM(HI7:HI17)</f>
        <v>17932275.098927081</v>
      </c>
      <c r="HJ18" s="35">
        <f t="shared" si="191"/>
        <v>96769.121282221051</v>
      </c>
      <c r="HK18" s="147">
        <f t="shared" si="191"/>
        <v>-4249482.0908680148</v>
      </c>
      <c r="HL18" s="152">
        <f t="shared" si="191"/>
        <v>-74346.655670462875</v>
      </c>
      <c r="HM18" s="41">
        <f t="shared" si="191"/>
        <v>17002.35575792742</v>
      </c>
      <c r="HN18" s="152">
        <f t="shared" si="191"/>
        <v>-2359424.425337289</v>
      </c>
      <c r="HO18" s="36">
        <f t="shared" si="191"/>
        <v>20971386.275754221</v>
      </c>
      <c r="HQ18" s="37">
        <f>SUM(HQ7:HQ17)</f>
        <v>16399490.233086735</v>
      </c>
      <c r="HR18" s="35">
        <f t="shared" ref="HR18:HX18" si="192">SUM(HR7:HR17)</f>
        <v>16251176.729954332</v>
      </c>
      <c r="HS18" s="35">
        <f t="shared" si="192"/>
        <v>148313.50313240197</v>
      </c>
      <c r="HT18" s="147">
        <f t="shared" si="192"/>
        <v>-4280140.4484518105</v>
      </c>
      <c r="HU18" s="152">
        <f t="shared" si="192"/>
        <v>51544.381850180915</v>
      </c>
      <c r="HV18" s="41">
        <f t="shared" si="192"/>
        <v>-30658.357583796344</v>
      </c>
      <c r="HW18" s="152">
        <f t="shared" si="192"/>
        <v>1681098.3689727481</v>
      </c>
      <c r="HX18" s="36">
        <f t="shared" si="192"/>
        <v>19600305.313653026</v>
      </c>
      <c r="HZ18" s="37">
        <f>SUM(HZ7:HZ17)</f>
        <v>15259176.163623331</v>
      </c>
      <c r="IA18" s="35">
        <f t="shared" ref="IA18:IG18" si="193">SUM(IA7:IA17)</f>
        <v>15078677.255400904</v>
      </c>
      <c r="IB18" s="35">
        <f t="shared" si="193"/>
        <v>180498.90822242852</v>
      </c>
      <c r="IC18" s="147">
        <f t="shared" si="193"/>
        <v>-3909938.0783357606</v>
      </c>
      <c r="ID18" s="152">
        <f t="shared" si="193"/>
        <v>32185.405090026557</v>
      </c>
      <c r="IE18" s="41">
        <f t="shared" si="193"/>
        <v>370202.37011605036</v>
      </c>
      <c r="IF18" s="152">
        <f t="shared" si="193"/>
        <v>1172499.4745534295</v>
      </c>
      <c r="IG18" s="36">
        <f t="shared" si="193"/>
        <v>18039672.604369253</v>
      </c>
      <c r="II18" s="37">
        <f>SUM(II7:II17)</f>
        <v>15494078.94274072</v>
      </c>
      <c r="IJ18" s="35">
        <f t="shared" ref="IJ18:IP18" si="194">SUM(IJ7:IJ17)</f>
        <v>15290491.676557649</v>
      </c>
      <c r="IK18" s="35">
        <f t="shared" si="194"/>
        <v>203587.26618307317</v>
      </c>
      <c r="IL18" s="147">
        <f t="shared" si="194"/>
        <v>-3918903.390147903</v>
      </c>
      <c r="IM18" s="152">
        <f t="shared" si="194"/>
        <v>-14875089.989217829</v>
      </c>
      <c r="IN18" s="41">
        <f t="shared" si="194"/>
        <v>-4099402.2983703315</v>
      </c>
      <c r="IO18" s="152">
        <f t="shared" si="194"/>
        <v>-31315.512934315833</v>
      </c>
      <c r="IP18" s="36">
        <f t="shared" si="194"/>
        <v>18232358.784668211</v>
      </c>
      <c r="IR18" s="37">
        <f>SUM(IR7:IR17)</f>
        <v>16622360.177149359</v>
      </c>
      <c r="IS18" s="35">
        <f>SUM(IS7:IS17)</f>
        <v>16500890.958547764</v>
      </c>
      <c r="IT18" s="35">
        <f>SUM(IT7:IT17)</f>
        <v>121469.21860159328</v>
      </c>
      <c r="IU18" s="147">
        <f>SUM(IU7:IU17)</f>
        <v>-3770944.8734263065</v>
      </c>
      <c r="IV18" s="152">
        <f>SUM(IV7:IV17)</f>
        <v>-15169022.457956053</v>
      </c>
      <c r="IW18" s="41">
        <f>SUM(IW7:IW17)</f>
        <v>-3974532.1396093802</v>
      </c>
      <c r="IX18" s="152">
        <f>SUM(IX7:IX17)</f>
        <v>-1006812.0158070445</v>
      </c>
      <c r="IY18" s="36">
        <f>SUM(IY7:IY17)</f>
        <v>19649370.00160072</v>
      </c>
      <c r="JA18" s="156">
        <f>SUM(JA7:JA17)</f>
        <v>-8320930.9485479062</v>
      </c>
      <c r="JB18" s="35">
        <f>SUM(JB7:JB17)</f>
        <v>11639282.877364328</v>
      </c>
      <c r="JC18" s="155">
        <f>SUM(JC7:JC17)</f>
        <v>3318351.9288164284</v>
      </c>
      <c r="JD18" s="36">
        <f>SUM(JD7:JD17)</f>
        <v>17074953.121759236</v>
      </c>
      <c r="JF18" s="153">
        <f>SUM(JF7:JF17)</f>
        <v>-5206059.8603144623</v>
      </c>
    </row>
    <row r="19" spans="1:267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63" t="s">
        <v>96</v>
      </c>
      <c r="JB19"/>
      <c r="JC19"/>
    </row>
    <row r="20" spans="1:267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64"/>
      <c r="JB20"/>
      <c r="JC20"/>
    </row>
    <row r="21" spans="1:267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65"/>
      <c r="JB21"/>
      <c r="JC21"/>
      <c r="JG21" s="154"/>
    </row>
    <row r="22" spans="1:267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40"/>
      <c r="HI22" s="140"/>
      <c r="HJ22" s="140" t="s">
        <v>133</v>
      </c>
      <c r="HK22" s="140"/>
      <c r="HL22" s="140"/>
      <c r="HM22" s="140"/>
      <c r="HN22" s="140"/>
      <c r="HO22" s="140"/>
      <c r="HQ22" s="140"/>
      <c r="HR22" s="140"/>
      <c r="HS22" s="140" t="s">
        <v>133</v>
      </c>
      <c r="HT22" s="140"/>
      <c r="HU22" s="140"/>
      <c r="HV22" s="140"/>
      <c r="HW22" s="140"/>
      <c r="HX22" s="140"/>
      <c r="HZ22" s="140"/>
      <c r="IA22" s="140"/>
      <c r="IB22" s="140" t="s">
        <v>133</v>
      </c>
      <c r="IC22" s="140"/>
      <c r="ID22" s="140"/>
      <c r="IE22" s="140"/>
      <c r="IF22" s="140"/>
      <c r="IG22" s="140"/>
      <c r="II22" s="140"/>
      <c r="IJ22" s="140"/>
      <c r="IK22" s="140" t="s">
        <v>133</v>
      </c>
      <c r="IL22" s="140"/>
      <c r="IM22" s="140"/>
      <c r="IN22" s="140"/>
      <c r="IO22" s="140"/>
      <c r="IP22" s="140"/>
      <c r="IR22" s="140"/>
      <c r="IS22" s="140"/>
      <c r="IT22" s="140" t="s">
        <v>133</v>
      </c>
      <c r="IU22" s="140"/>
      <c r="IV22" s="140"/>
      <c r="IW22" s="140"/>
      <c r="IX22" s="140"/>
      <c r="IY22" s="140"/>
      <c r="JA22" s="105" t="s">
        <v>84</v>
      </c>
      <c r="JB22" s="105" t="s">
        <v>86</v>
      </c>
      <c r="JC22" s="105" t="s">
        <v>87</v>
      </c>
    </row>
    <row r="23" spans="1:267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/>
      <c r="JB23"/>
      <c r="JC23"/>
    </row>
    <row r="24" spans="1:267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 s="107"/>
      <c r="HI24" s="108"/>
      <c r="HQ24" s="107"/>
      <c r="HR24" s="108"/>
      <c r="HZ24" s="107"/>
      <c r="IA24" s="108"/>
      <c r="II24" s="107"/>
      <c r="IJ24" s="108"/>
      <c r="IR24" s="107"/>
      <c r="IS24" s="108"/>
      <c r="JA24"/>
      <c r="JB24"/>
      <c r="JC24"/>
    </row>
    <row r="25" spans="1:267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 s="107"/>
      <c r="HI25" s="108"/>
      <c r="HQ25" s="107"/>
      <c r="HR25" s="108"/>
      <c r="HZ25" s="107"/>
      <c r="IA25" s="108"/>
      <c r="II25" s="107"/>
      <c r="IJ25" s="108"/>
      <c r="IR25" s="107"/>
      <c r="IS25" s="108"/>
      <c r="JA25"/>
      <c r="JB25"/>
      <c r="JC25"/>
    </row>
    <row r="26" spans="1:267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  <c r="HH26" s="107"/>
      <c r="HI26" s="108"/>
      <c r="HQ26" s="107"/>
      <c r="HR26" s="108"/>
      <c r="HZ26" s="107"/>
      <c r="IA26" s="108"/>
      <c r="II26" s="107"/>
      <c r="IJ26" s="108"/>
      <c r="IR26" s="107"/>
      <c r="IS26" s="108"/>
    </row>
    <row r="27" spans="1:267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  <c r="HH27" s="107"/>
      <c r="HI27" s="108"/>
      <c r="HQ27" s="107"/>
      <c r="HR27" s="108"/>
      <c r="HZ27" s="107"/>
      <c r="IA27" s="108"/>
      <c r="II27" s="107"/>
      <c r="IJ27" s="108"/>
      <c r="IR27" s="107"/>
      <c r="IS27" s="108"/>
    </row>
    <row r="28" spans="1:267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  <c r="HH28" s="107"/>
      <c r="HI28" s="108"/>
      <c r="HQ28" s="107"/>
      <c r="HR28" s="108"/>
      <c r="HZ28" s="107"/>
      <c r="IA28" s="108"/>
      <c r="II28" s="107"/>
      <c r="IJ28" s="108"/>
      <c r="IR28" s="107"/>
      <c r="IS28" s="108"/>
    </row>
    <row r="29" spans="1:267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  <c r="HH29" s="107"/>
      <c r="HI29" s="108"/>
      <c r="HQ29" s="107"/>
      <c r="HR29" s="108"/>
      <c r="HZ29" s="107"/>
      <c r="IA29" s="108"/>
      <c r="II29" s="107"/>
      <c r="IJ29" s="108"/>
      <c r="IR29" s="107"/>
      <c r="IS29" s="108"/>
    </row>
    <row r="30" spans="1:267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  <c r="HH30" s="107"/>
      <c r="HI30" s="108"/>
      <c r="HQ30" s="107"/>
      <c r="HR30" s="108"/>
      <c r="HZ30" s="107"/>
      <c r="IA30" s="108"/>
      <c r="II30" s="107"/>
      <c r="IJ30" s="108"/>
      <c r="IR30" s="107"/>
      <c r="IS30" s="108"/>
    </row>
    <row r="31" spans="1:267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  <c r="HH31" s="107"/>
      <c r="HI31" s="108"/>
      <c r="HQ31" s="107"/>
      <c r="HR31" s="108"/>
      <c r="HZ31" s="107"/>
      <c r="IA31" s="108"/>
      <c r="II31" s="107"/>
      <c r="IJ31" s="108"/>
      <c r="IR31" s="107"/>
      <c r="IS31" s="108"/>
    </row>
    <row r="32" spans="1:267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  <c r="HH32" s="107"/>
      <c r="HI32" s="108"/>
      <c r="HQ32" s="107"/>
      <c r="HR32" s="108"/>
      <c r="HZ32" s="107"/>
      <c r="IA32" s="108"/>
      <c r="II32" s="107"/>
      <c r="IJ32" s="108"/>
      <c r="IR32" s="107"/>
      <c r="IS32" s="108"/>
    </row>
    <row r="33" spans="1:253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  <c r="HH33" s="107"/>
      <c r="HI33" s="108"/>
      <c r="HQ33" s="107"/>
      <c r="HR33" s="108"/>
      <c r="HZ33" s="107"/>
      <c r="IA33" s="108"/>
      <c r="II33" s="107"/>
      <c r="IJ33" s="108"/>
      <c r="IR33" s="107"/>
      <c r="IS33" s="108"/>
    </row>
    <row r="34" spans="1:253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  <c r="HH34" s="107"/>
      <c r="HI34" s="108"/>
      <c r="HQ34" s="107"/>
      <c r="HR34" s="108"/>
      <c r="HZ34" s="107"/>
      <c r="IA34" s="108"/>
      <c r="II34" s="107"/>
      <c r="IJ34" s="108"/>
      <c r="IR34" s="107"/>
      <c r="IS34" s="108"/>
    </row>
    <row r="35" spans="1:253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  <c r="HH35" s="107"/>
      <c r="HQ35" s="107"/>
      <c r="HZ35" s="107"/>
      <c r="II35" s="107"/>
      <c r="IR35" s="107"/>
    </row>
    <row r="36" spans="1:253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  <c r="HH36" s="107"/>
      <c r="HQ36" s="107"/>
      <c r="HZ36" s="107"/>
      <c r="II36" s="107"/>
      <c r="IR36" s="107"/>
    </row>
    <row r="37" spans="1:253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  <c r="HH37" s="107"/>
      <c r="HI37" s="108"/>
      <c r="HQ37" s="107"/>
      <c r="HR37" s="108"/>
      <c r="HZ37" s="107"/>
      <c r="IA37" s="108"/>
      <c r="II37" s="107"/>
      <c r="IJ37" s="108"/>
      <c r="IR37" s="107"/>
      <c r="IS37" s="108"/>
    </row>
    <row r="38" spans="1:253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53" x14ac:dyDescent="0.2">
      <c r="A39"/>
    </row>
    <row r="40" spans="1:253" x14ac:dyDescent="0.2">
      <c r="A40"/>
    </row>
    <row r="41" spans="1:253" x14ac:dyDescent="0.2">
      <c r="A41"/>
    </row>
    <row r="42" spans="1:253" x14ac:dyDescent="0.2">
      <c r="A42"/>
    </row>
    <row r="43" spans="1:253" x14ac:dyDescent="0.2">
      <c r="A43"/>
      <c r="AS43" s="107"/>
      <c r="AT43" s="108"/>
      <c r="BB43" s="107"/>
      <c r="BC43" s="108"/>
      <c r="BK43" s="107"/>
      <c r="BL43" s="108"/>
    </row>
    <row r="44" spans="1:253" x14ac:dyDescent="0.2">
      <c r="A44"/>
    </row>
    <row r="45" spans="1:253" x14ac:dyDescent="0.2">
      <c r="A45"/>
      <c r="AS45" s="107"/>
      <c r="AT45" s="108"/>
      <c r="BB45" s="107"/>
      <c r="BC45" s="108"/>
      <c r="BK45" s="107"/>
      <c r="BL45" s="108"/>
    </row>
    <row r="46" spans="1:253" x14ac:dyDescent="0.2">
      <c r="A46"/>
    </row>
    <row r="47" spans="1:253" x14ac:dyDescent="0.2">
      <c r="A47"/>
      <c r="AS47" s="107"/>
      <c r="AT47" s="108"/>
      <c r="BB47" s="107"/>
      <c r="BC47" s="108"/>
      <c r="BK47" s="107"/>
      <c r="BL47" s="108"/>
    </row>
    <row r="48" spans="1:253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34">
    <mergeCell ref="HH5:HO5"/>
    <mergeCell ref="IR5:IY5"/>
    <mergeCell ref="CU5:DB5"/>
    <mergeCell ref="HZ5:IG5"/>
    <mergeCell ref="JA19:JA21"/>
    <mergeCell ref="JF5:JI5"/>
    <mergeCell ref="JA5:JD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II5:IP5"/>
    <mergeCell ref="HQ5:HX5"/>
    <mergeCell ref="A2:C2"/>
    <mergeCell ref="A3:C3"/>
    <mergeCell ref="E5:G5"/>
    <mergeCell ref="I5:P5"/>
    <mergeCell ref="R5:Y5"/>
    <mergeCell ref="GY5:HF5"/>
    <mergeCell ref="BT5:CA5"/>
    <mergeCell ref="CC5:CJ5"/>
    <mergeCell ref="AA5:AH5"/>
    <mergeCell ref="AJ5:AQ5"/>
    <mergeCell ref="AS5:AZ5"/>
    <mergeCell ref="BB5:BI5"/>
    <mergeCell ref="BK5:BR5"/>
    <mergeCell ref="CL5:CS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2" t="s">
        <v>102</v>
      </c>
      <c r="W4" s="174"/>
      <c r="X4" s="89"/>
      <c r="Y4" s="172" t="s">
        <v>103</v>
      </c>
      <c r="Z4" s="174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>
        <v>43101</v>
      </c>
      <c r="W5" s="174"/>
      <c r="X5" s="89"/>
      <c r="Y5" s="172">
        <v>43282</v>
      </c>
      <c r="Z5" s="174"/>
      <c r="AA5" s="62"/>
    </row>
    <row r="6" spans="1:45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96" t="s">
        <v>104</v>
      </c>
      <c r="Z6" s="178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97"/>
      <c r="Z7" s="179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98"/>
      <c r="Z8" s="180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9"/>
      <c r="B2" s="199"/>
      <c r="C2" s="199"/>
      <c r="D2" s="199"/>
      <c r="E2" s="199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200"/>
      <c r="B3" s="200"/>
      <c r="C3" s="200"/>
      <c r="D3" s="200"/>
      <c r="E3" s="200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2" t="s">
        <v>12</v>
      </c>
      <c r="S5" s="173"/>
      <c r="T5" s="174"/>
      <c r="V5" s="172" t="s">
        <v>111</v>
      </c>
      <c r="W5" s="174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5" t="s">
        <v>39</v>
      </c>
      <c r="B6" s="201" t="s">
        <v>40</v>
      </c>
      <c r="C6" s="175" t="s">
        <v>41</v>
      </c>
      <c r="D6" s="118"/>
      <c r="E6" s="202" t="s">
        <v>42</v>
      </c>
      <c r="F6" s="178" t="s">
        <v>43</v>
      </c>
      <c r="G6" s="178" t="s">
        <v>44</v>
      </c>
      <c r="H6" s="178" t="s">
        <v>45</v>
      </c>
      <c r="I6" s="175" t="s">
        <v>101</v>
      </c>
      <c r="J6" s="181" t="s">
        <v>46</v>
      </c>
      <c r="K6" s="182"/>
      <c r="L6" s="187" t="s">
        <v>47</v>
      </c>
      <c r="M6" s="181" t="s">
        <v>48</v>
      </c>
      <c r="N6" s="182"/>
      <c r="O6" s="190" t="s">
        <v>49</v>
      </c>
      <c r="P6" s="191"/>
      <c r="Q6" s="71"/>
      <c r="R6" s="196" t="s">
        <v>13</v>
      </c>
      <c r="S6" s="178" t="s">
        <v>98</v>
      </c>
      <c r="T6" s="178" t="s">
        <v>99</v>
      </c>
      <c r="U6" s="60"/>
      <c r="V6" s="196" t="s">
        <v>104</v>
      </c>
      <c r="W6" s="178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6"/>
      <c r="B7" s="201"/>
      <c r="C7" s="176"/>
      <c r="D7" s="119" t="s">
        <v>2</v>
      </c>
      <c r="E7" s="203"/>
      <c r="F7" s="179"/>
      <c r="G7" s="179"/>
      <c r="H7" s="179"/>
      <c r="I7" s="176"/>
      <c r="J7" s="183"/>
      <c r="K7" s="184"/>
      <c r="L7" s="188"/>
      <c r="M7" s="183"/>
      <c r="N7" s="184"/>
      <c r="O7" s="192"/>
      <c r="P7" s="193"/>
      <c r="Q7" s="71"/>
      <c r="R7" s="197"/>
      <c r="S7" s="179"/>
      <c r="T7" s="179"/>
      <c r="U7" s="60"/>
      <c r="V7" s="197"/>
      <c r="W7" s="179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7"/>
      <c r="B8" s="201"/>
      <c r="C8" s="177"/>
      <c r="D8" s="120"/>
      <c r="E8" s="204"/>
      <c r="F8" s="180"/>
      <c r="G8" s="180"/>
      <c r="H8" s="180"/>
      <c r="I8" s="177"/>
      <c r="J8" s="185"/>
      <c r="K8" s="186"/>
      <c r="L8" s="189"/>
      <c r="M8" s="185"/>
      <c r="N8" s="186"/>
      <c r="O8" s="194"/>
      <c r="P8" s="195"/>
      <c r="Q8" s="71"/>
      <c r="R8" s="198"/>
      <c r="S8" s="180"/>
      <c r="T8" s="180"/>
      <c r="U8" s="60"/>
      <c r="V8" s="198"/>
      <c r="W8" s="180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5" t="s">
        <v>50</v>
      </c>
      <c r="D3" s="205"/>
      <c r="E3" s="205"/>
      <c r="F3" s="205"/>
      <c r="G3" s="205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6" t="s">
        <v>51</v>
      </c>
      <c r="D8" s="207"/>
      <c r="E8" s="207"/>
      <c r="F8" s="207"/>
      <c r="G8" s="208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 Elliott</cp:lastModifiedBy>
  <cp:lastPrinted>2018-03-12T09:53:41Z</cp:lastPrinted>
  <dcterms:created xsi:type="dcterms:W3CDTF">1996-10-14T23:33:28Z</dcterms:created>
  <dcterms:modified xsi:type="dcterms:W3CDTF">2023-07-13T12:42:43Z</dcterms:modified>
</cp:coreProperties>
</file>