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D:\Kerius-Interne\Clients\emeis\"/>
    </mc:Choice>
  </mc:AlternateContent>
  <xr:revisionPtr revIDLastSave="0" documentId="13_ncr:1_{2EF67F16-034F-47F6-A7FF-8B3BD8B69B31}" xr6:coauthVersionLast="47" xr6:coauthVersionMax="47" xr10:uidLastSave="{00000000-0000-0000-0000-000000000000}"/>
  <bookViews>
    <workbookView xWindow="-120" yWindow="-120" windowWidth="29040" windowHeight="15720" xr2:uid="{B0CA605B-FCF8-4EBB-B420-11F98BAC2BF2}"/>
  </bookViews>
  <sheets>
    <sheet name="Synthèse" sheetId="1" r:id="rId1"/>
    <sheet name="2024 12 - FX" sheetId="140" r:id="rId2"/>
    <sheet name="Lissage VT 2018" sheetId="2" state="hidden" r:id="rId3"/>
    <sheet name="Kérius - 2017 12 non G0 Eur" sheetId="4" state="hidden" r:id="rId4"/>
    <sheet name="Kérius - 2017 12 non G0 CHF" sheetId="5" state="hidden" r:id="rId5"/>
    <sheet name="Kérius - 2017 12 - Change" sheetId="6" state="hidden" r:id="rId6"/>
    <sheet name="Lissage VT DEF" sheetId="16" r:id="rId7"/>
    <sheet name="Kérius - 2017 12 G0 Eur" sheetId="3" state="hidden" r:id="rId8"/>
    <sheet name="2023 12 - G0 Eur" sheetId="125" r:id="rId9"/>
    <sheet name="2024 12 - G0 Eur" sheetId="139" r:id="rId10"/>
  </sheets>
  <externalReferences>
    <externalReference r:id="rId11"/>
  </externalReference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9">'2024 12 - G0 Eur'!$A$1</definedName>
    <definedName name="fxPortfolioInput">#REF!</definedName>
    <definedName name="InputRAIR">#REF!</definedName>
    <definedName name="MarketDataIR">#REF!</definedName>
    <definedName name="Myrange">#REF!</definedName>
    <definedName name="NowDate">#REF!</definedName>
    <definedName name="RapportCFIR">#REF!</definedName>
    <definedName name="RapportCloture">#REF!</definedName>
    <definedName name="SpotDate">#REF!</definedName>
    <definedName name="_xlnm.Print_Area" localSheetId="9">'2024 12 - G0 Eur'!$A$1:$Y$56</definedName>
    <definedName name="_xlnm.Print_Area" localSheetId="0">Synthèse!$A$1:$K$13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N4" i="1"/>
  <c r="E6" i="1" s="1"/>
  <c r="E3" i="1"/>
  <c r="I6" i="1"/>
  <c r="H6" i="1" l="1"/>
  <c r="I4" i="1" l="1"/>
  <c r="F7" i="1"/>
  <c r="F13" i="1" l="1"/>
  <c r="M13" i="16" l="1"/>
  <c r="M10" i="16"/>
  <c r="M9" i="16"/>
  <c r="M7" i="16"/>
  <c r="F2" i="1" l="1"/>
  <c r="I8" i="1"/>
  <c r="F10" i="1" l="1"/>
  <c r="F11" i="1" s="1"/>
  <c r="F8" i="1"/>
  <c r="H3" i="1"/>
  <c r="L5" i="16" l="1"/>
  <c r="L6" i="16"/>
  <c r="H8" i="1"/>
  <c r="I11" i="1"/>
  <c r="I5" i="1" l="1"/>
  <c r="L4" i="16" l="1"/>
  <c r="L7" i="16" l="1"/>
  <c r="L8" i="16"/>
  <c r="L9" i="16"/>
  <c r="L10" i="16"/>
  <c r="L11" i="16"/>
  <c r="L12" i="16"/>
  <c r="L13" i="16" l="1"/>
  <c r="L2" i="1" l="1"/>
  <c r="B13" i="16" l="1"/>
  <c r="I7" i="16" l="1"/>
  <c r="H7" i="16"/>
  <c r="H12" i="16" l="1"/>
  <c r="F12" i="16"/>
  <c r="J9" i="16"/>
  <c r="J7" i="16"/>
  <c r="J6" i="16"/>
  <c r="J5" i="16"/>
  <c r="J4" i="16"/>
  <c r="K12" i="16"/>
  <c r="K11" i="16"/>
  <c r="K9" i="16"/>
  <c r="K8" i="16"/>
  <c r="K7" i="16"/>
  <c r="K6" i="16"/>
  <c r="K5" i="16"/>
  <c r="K4" i="16"/>
  <c r="K10" i="16" l="1"/>
  <c r="K13" i="16" s="1"/>
  <c r="J8" i="16" l="1"/>
  <c r="J10" i="16"/>
  <c r="J11" i="16"/>
  <c r="J12" i="16"/>
  <c r="J13" i="16" l="1"/>
  <c r="L3" i="1"/>
  <c r="L4" i="1"/>
  <c r="L13" i="1" l="1"/>
  <c r="L6" i="1"/>
  <c r="L8" i="1" l="1"/>
  <c r="I9" i="1"/>
  <c r="I12" i="1" s="1"/>
  <c r="L9" i="1" l="1"/>
  <c r="L5" i="1"/>
  <c r="L10" i="1" l="1"/>
  <c r="L11" i="1" l="1"/>
  <c r="L12" i="1" l="1"/>
  <c r="I4" i="16" l="1"/>
  <c r="I5" i="16"/>
  <c r="I6" i="16"/>
  <c r="I8" i="16"/>
  <c r="I9" i="16"/>
  <c r="I10" i="16"/>
  <c r="I11" i="16"/>
  <c r="I12" i="16"/>
  <c r="R12" i="16" l="1"/>
  <c r="N12" i="16"/>
  <c r="I13" i="16"/>
  <c r="B41" i="1" l="1"/>
  <c r="D41" i="1" l="1"/>
  <c r="J4" i="2"/>
  <c r="J6" i="2"/>
  <c r="H11" i="16"/>
  <c r="H10" i="16"/>
  <c r="H9" i="16"/>
  <c r="H8" i="16"/>
  <c r="H6" i="16"/>
  <c r="H5" i="16"/>
  <c r="H4" i="16"/>
  <c r="F11" i="16"/>
  <c r="N11" i="16" s="1"/>
  <c r="R11" i="16" s="1"/>
  <c r="G10" i="16"/>
  <c r="F10" i="16"/>
  <c r="G9" i="16"/>
  <c r="F9" i="16"/>
  <c r="G8" i="16"/>
  <c r="F8" i="16"/>
  <c r="G7" i="16"/>
  <c r="F7" i="16"/>
  <c r="G6" i="16"/>
  <c r="F6" i="16"/>
  <c r="G5" i="16"/>
  <c r="F5" i="16"/>
  <c r="G4" i="16"/>
  <c r="F4" i="16"/>
  <c r="M8" i="16" l="1"/>
  <c r="N8" i="16"/>
  <c r="N9" i="16"/>
  <c r="N5" i="16"/>
  <c r="R5" i="16" s="1"/>
  <c r="N6" i="16"/>
  <c r="R6" i="16" s="1"/>
  <c r="N4" i="16"/>
  <c r="N7" i="16"/>
  <c r="N10" i="16"/>
  <c r="R10" i="16" s="1"/>
  <c r="R4" i="16"/>
  <c r="H13" i="16"/>
  <c r="S12" i="16"/>
  <c r="F13" i="16"/>
  <c r="R9" i="16"/>
  <c r="R7" i="16"/>
  <c r="R8" i="16" l="1"/>
  <c r="S9" i="16"/>
  <c r="S10" i="16"/>
  <c r="S7" i="16"/>
  <c r="S5" i="16"/>
  <c r="S11" i="16"/>
  <c r="S6" i="16"/>
  <c r="F4" i="1" l="1"/>
  <c r="H4" i="1" s="1"/>
  <c r="S8" i="16"/>
  <c r="S4" i="16"/>
  <c r="T34" i="3"/>
  <c r="U34" i="3"/>
  <c r="B46" i="1" l="1"/>
  <c r="B47" i="1" s="1"/>
  <c r="B52" i="1" s="1"/>
  <c r="B40" i="1"/>
  <c r="B39" i="1"/>
  <c r="F5" i="1" l="1"/>
  <c r="H5" i="1"/>
  <c r="H9" i="1" s="1"/>
  <c r="B42" i="1"/>
  <c r="B51" i="1" s="1"/>
  <c r="D39" i="1"/>
  <c r="D40"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1" i="1"/>
  <c r="E11" i="1"/>
  <c r="E8" i="1"/>
  <c r="E5" i="1"/>
  <c r="H12" i="1" l="1"/>
  <c r="F9" i="1"/>
  <c r="F12" i="1" s="1"/>
  <c r="H15" i="2"/>
  <c r="I15" i="2" s="1"/>
  <c r="K15" i="2" s="1"/>
  <c r="H9" i="2"/>
  <c r="I9" i="2" s="1"/>
  <c r="H10" i="2"/>
  <c r="I10" i="2" s="1"/>
  <c r="K10" i="2" s="1"/>
  <c r="H7" i="2"/>
  <c r="I7" i="2" s="1"/>
  <c r="K7" i="2" s="1"/>
  <c r="H11" i="2"/>
  <c r="I11" i="2" s="1"/>
  <c r="K11" i="2" s="1"/>
  <c r="H8" i="2"/>
  <c r="I8" i="2" s="1"/>
  <c r="K8" i="2" s="1"/>
  <c r="H12" i="2"/>
  <c r="I12" i="2" s="1"/>
  <c r="K12" i="2" s="1"/>
  <c r="K16" i="2"/>
  <c r="I6" i="2"/>
  <c r="K6" i="2" s="1"/>
  <c r="B53" i="1"/>
  <c r="B54" i="1" s="1"/>
  <c r="D42" i="1"/>
  <c r="E9" i="1"/>
  <c r="E12" i="1" s="1"/>
  <c r="K14" i="2"/>
  <c r="H5" i="2"/>
  <c r="I5" i="2" s="1"/>
  <c r="K5" i="2" s="1"/>
  <c r="H13" i="2"/>
  <c r="I13" i="2" s="1"/>
  <c r="K13" i="2" s="1"/>
  <c r="K9" i="2"/>
  <c r="G17" i="2"/>
  <c r="J17" i="2"/>
  <c r="F17" i="2" l="1"/>
  <c r="H4" i="2"/>
  <c r="I4" i="2" s="1"/>
  <c r="K4" i="2" s="1"/>
  <c r="H17" i="2" l="1"/>
  <c r="I17" i="2" s="1"/>
  <c r="K17" i="2" s="1"/>
  <c r="N13" i="16"/>
  <c r="G13" i="16"/>
</calcChain>
</file>

<file path=xl/sharedStrings.xml><?xml version="1.0" encoding="utf-8"?>
<sst xmlns="http://schemas.openxmlformats.org/spreadsheetml/2006/main" count="2124" uniqueCount="385">
  <si>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</si>
  <si>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</si>
  <si>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</si>
  <si>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</si>
  <si>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</si>
  <si>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</si>
  <si>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</si>
  <si>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</si>
  <si>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</si>
  <si>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</si>
  <si>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</si>
  <si>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</si>
  <si>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</si>
  <si>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</si>
  <si>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</si>
  <si>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</si>
  <si>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</si>
  <si>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</si>
  <si>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</si>
  <si>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</si>
  <si>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</si>
  <si>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</si>
  <si>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</si>
  <si>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</si>
  <si>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</si>
  <si>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</si>
  <si>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</si>
  <si>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</si>
  <si>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</si>
  <si>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</si>
  <si>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</si>
  <si>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</si>
  <si>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</si>
  <si>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</si>
  <si>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</si>
  <si>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</si>
  <si>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</si>
  <si>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</si>
  <si>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</si>
  <si>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</si>
  <si>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</si>
  <si>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</si>
  <si>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</si>
  <si>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</si>
  <si>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</si>
  <si>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</si>
  <si>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</si>
  <si>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</si>
  <si>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</si>
  <si>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</si>
  <si>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</si>
  <si>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</si>
  <si>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</si>
  <si>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</si>
  <si>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</si>
  <si>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</si>
  <si>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</si>
  <si>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</si>
  <si>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</si>
  <si>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</si>
  <si>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</si>
  <si>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</si>
  <si>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</si>
  <si>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</si>
  <si>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</si>
  <si>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</si>
  <si>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</si>
  <si>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</si>
  <si>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</si>
  <si>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</si>
  <si>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</si>
  <si>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</si>
  <si>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</si>
  <si>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</si>
  <si>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</si>
  <si>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</si>
  <si>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</si>
  <si>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</si>
  <si>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</si>
  <si>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</si>
  <si>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</si>
  <si>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</si>
  <si>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</si>
  <si>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</si>
  <si>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</si>
  <si>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</si>
  <si>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</si>
  <si>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</si>
  <si>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</si>
  <si>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</si>
  <si>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</si>
  <si>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</si>
  <si>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</si>
  <si>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</si>
  <si>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</si>
  <si>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</si>
  <si>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</si>
  <si>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</si>
  <si>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</si>
  <si>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</si>
  <si>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</si>
  <si>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</si>
  <si>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</si>
  <si>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</si>
  <si>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</si>
  <si>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</si>
  <si>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</si>
  <si>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</si>
  <si>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</si>
  <si>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</si>
  <si>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</si>
  <si>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</si>
  <si>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</si>
  <si>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</si>
  <si>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</si>
  <si>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</si>
  <si>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</si>
  <si>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</si>
  <si>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</si>
  <si>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</si>
  <si>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</si>
  <si>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</si>
  <si>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</si>
  <si>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</si>
  <si>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</si>
  <si>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</si>
  <si>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</si>
  <si>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</si>
  <si>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</si>
  <si>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</si>
  <si>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</si>
  <si>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</si>
  <si>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</si>
  <si>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</si>
  <si>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</si>
  <si>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</si>
  <si>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</si>
  <si>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</si>
  <si>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</si>
  <si>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</si>
  <si>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</si>
  <si>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</si>
  <si>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</si>
  <si>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</si>
  <si>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</si>
  <si>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</si>
  <si>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</si>
  <si>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</si>
  <si>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</si>
  <si>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</si>
  <si>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</si>
  <si>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</si>
  <si>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</si>
  <si>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</si>
  <si>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</si>
  <si>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</si>
  <si>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</si>
  <si>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</si>
  <si>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</si>
  <si>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</si>
  <si>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</si>
  <si>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</si>
  <si>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</si>
  <si>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</si>
  <si>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</si>
  <si>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</si>
  <si>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</si>
  <si>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</si>
  <si>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</si>
  <si>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</si>
  <si>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</si>
  <si>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</si>
  <si>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</si>
  <si>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</si>
  <si>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</si>
  <si>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</si>
  <si>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</si>
  <si>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</si>
  <si>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</si>
  <si>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</si>
  <si>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</si>
  <si>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</si>
  <si>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</si>
  <si>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</si>
  <si>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</si>
  <si>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</si>
  <si>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</si>
  <si>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</si>
  <si>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</si>
  <si>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</si>
  <si>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</si>
  <si>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</si>
  <si>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</si>
  <si>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</si>
  <si>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</si>
  <si>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</si>
  <si>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</si>
  <si>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</si>
  <si>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</si>
  <si>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</si>
  <si>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</si>
  <si>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</si>
  <si>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</si>
  <si>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</si>
  <si>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</si>
  <si>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</si>
  <si>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</si>
  <si>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</si>
  <si>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</si>
  <si>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</si>
  <si>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</si>
  <si>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</si>
  <si>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</si>
  <si>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</si>
  <si>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</si>
  <si>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</si>
  <si>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</si>
  <si>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</si>
  <si>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</si>
  <si>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</si>
  <si>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</si>
  <si>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</si>
  <si>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</si>
  <si>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</si>
  <si>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</si>
  <si>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</si>
  <si>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</si>
  <si>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</si>
  <si>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</si>
  <si>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</si>
  <si>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</si>
  <si>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</si>
  <si>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</si>
  <si>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</si>
  <si>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</si>
  <si>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</si>
  <si>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</si>
  <si>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</si>
  <si>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</si>
  <si>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</si>
  <si>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</si>
  <si>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</si>
  <si>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</si>
  <si>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</si>
  <si>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</si>
  <si>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</si>
  <si>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</si>
  <si>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</si>
  <si>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</si>
  <si>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</si>
  <si>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</si>
  <si>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</si>
  <si>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</si>
  <si>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</si>
  <si>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</si>
  <si>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</si>
  <si>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</si>
  <si>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</si>
  <si>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</si>
  <si>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</si>
  <si>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</si>
  <si>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</si>
  <si>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</si>
  <si>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</si>
  <si>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</si>
  <si>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</si>
  <si>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</si>
  <si>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</si>
  <si>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</si>
  <si>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</si>
  <si>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</si>
  <si>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</si>
  <si>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</si>
  <si>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</si>
  <si>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</si>
  <si>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</si>
  <si>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</si>
  <si>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</si>
  <si>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</si>
  <si>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</si>
  <si>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</si>
  <si>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</si>
  <si>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</si>
  <si>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</si>
  <si>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</si>
  <si>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</si>
  <si>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</si>
  <si>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</si>
  <si>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</si>
  <si>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</si>
  <si>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</si>
  <si>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</si>
  <si>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</si>
  <si>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</si>
  <si>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</si>
  <si>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</si>
  <si>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</si>
  <si>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</si>
  <si>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</si>
  <si>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</si>
  <si>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</si>
  <si>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</si>
  <si>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</si>
  <si>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</si>
  <si>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</si>
  <si>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 xml:space="preserve">Total: </t>
  </si>
  <si>
    <t>LC56-D</t>
  </si>
  <si>
    <t>Swap 1.435% vs Euribor 3m</t>
  </si>
  <si>
    <t>CIC22-D</t>
  </si>
  <si>
    <t>Swap 1.3625% vs Euribor 3m</t>
  </si>
  <si>
    <t>LC57-D</t>
  </si>
  <si>
    <t>Swap 1.4490% vs Euribor 3m</t>
  </si>
  <si>
    <t>CAG19-D</t>
  </si>
  <si>
    <t>Swap 1.3920% vs Euribor 3m</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</si>
  <si>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</si>
  <si>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</si>
  <si>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</si>
  <si>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</si>
  <si>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</si>
  <si>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</si>
  <si>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</si>
  <si>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</si>
  <si>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</si>
  <si>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</si>
  <si>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</si>
  <si>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</si>
  <si>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</si>
  <si>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</si>
  <si>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</si>
  <si>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</si>
  <si>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</si>
  <si>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</si>
  <si>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</si>
  <si>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</si>
  <si>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</si>
  <si>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</si>
  <si>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</si>
  <si>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</si>
  <si>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</si>
  <si>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</si>
  <si>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</si>
  <si>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</si>
  <si>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</si>
  <si>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</si>
  <si>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</si>
  <si>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</si>
  <si>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</si>
  <si>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ADKB</t>
  </si>
  <si>
    <t>FLOORÉ ?
OUI / NON</t>
  </si>
  <si>
    <t>BNP44-D</t>
  </si>
  <si>
    <t>ING5-D</t>
  </si>
  <si>
    <t>OUI</t>
  </si>
  <si>
    <t>UC1-D</t>
  </si>
  <si>
    <t>UNICREDIT</t>
  </si>
  <si>
    <t>Swap 1.378% vs Euribor 3m - entité ORPEA - SA</t>
  </si>
  <si>
    <t>Swap 4,56% vs Euribor 3m avec spread 2% - Belgique - entité HELCHTEREN HET DORP - SA</t>
  </si>
  <si>
    <t>Swap 4,56% vs Euribor 3m avec spread 2% - Belgique - LEUVEN BRABANCONNE - SA</t>
  </si>
  <si>
    <t>Swap 0,425% vs Euribor 3m - Slovénie - entité SeneCura Dom starejših občanov Maribor d.o.o. - SI-ETAB</t>
  </si>
  <si>
    <t>Swap 2,37% vs Moyenne Euribor 3m - entité SCI DES CAPUCINS - SCI</t>
  </si>
  <si>
    <t>Swap avec leasing du floor - Belgique - entité EDEGEM 3 EIKEN - SRL</t>
  </si>
  <si>
    <t>Structured Interest Rate Swap - entité ORPEA - SA</t>
  </si>
  <si>
    <t>Cap arrivé à expiration le 26/07, toute la VT est amortie</t>
  </si>
  <si>
    <t>TBD</t>
  </si>
  <si>
    <t>ICNE cash touché en social sur l'exercice</t>
  </si>
  <si>
    <t>Value Date: 29/12/2023</t>
  </si>
  <si>
    <t>Calculation Date: 02/01/2024</t>
  </si>
  <si>
    <t>Eusa20</t>
  </si>
  <si>
    <t>2023 12 - G0 Eur</t>
  </si>
  <si>
    <t>Valeur à 
l'ouverture (bilan)</t>
  </si>
  <si>
    <t>Inefficacité swap unicrédit</t>
  </si>
  <si>
    <t>Passage de l'inefficacité du swap EUSA20Y par rapport à un dérivé hypothétique parfait en EUR6M</t>
  </si>
  <si>
    <t>EURIBOR3M</t>
  </si>
  <si>
    <t>Addiko Bank</t>
  </si>
  <si>
    <t>SeneCura Dom starejših občanov Maribor d.o.o. - SI-ETAB</t>
  </si>
  <si>
    <t>EDEGEM 3 EIKEN - SRL</t>
  </si>
  <si>
    <t>HELCHTEREN HET DORP - SA</t>
  </si>
  <si>
    <t>LEUVEN BRABANCONNE - SA</t>
  </si>
  <si>
    <t>IR Portfolio Valuation - emeis</t>
  </si>
  <si>
    <t>2024 07 - G0 Eur</t>
  </si>
  <si>
    <t>Cap vendu</t>
  </si>
  <si>
    <t>FX Portfolio Valuation - EMEIS</t>
  </si>
  <si>
    <t>Debouclement 2</t>
  </si>
  <si>
    <t>Débouclement 3</t>
  </si>
  <si>
    <t>Value Date: 31.12.2024</t>
  </si>
  <si>
    <t>Calculation Date: 02.01.2025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</si>
</sst>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s>
  <fonts count="85"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amily val="2"/>
    </font>
  </fonts>
  <fills count="5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4">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5" fillId="0" borderId="0"/>
    <xf numFmtId="9" fontId="7" fillId="0" borderId="0" applyFont="0" applyFill="0" applyBorder="0" applyAlignment="0" applyProtection="0"/>
    <xf numFmtId="0" fontId="66" fillId="0" borderId="0"/>
    <xf numFmtId="0" fontId="67" fillId="0" borderId="0"/>
    <xf numFmtId="0" fontId="7" fillId="0" borderId="0"/>
    <xf numFmtId="0" fontId="68" fillId="0" borderId="0"/>
    <xf numFmtId="0" fontId="69" fillId="0" borderId="0"/>
    <xf numFmtId="0" fontId="69"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0" fillId="0" borderId="0"/>
    <xf numFmtId="0" fontId="7" fillId="0" borderId="0"/>
    <xf numFmtId="0" fontId="72"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2" fillId="0" borderId="0"/>
    <xf numFmtId="0" fontId="83" fillId="0" borderId="0"/>
    <xf numFmtId="0" fontId="84" fillId="0" borderId="0"/>
  </cellStyleXfs>
  <cellXfs count="348">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4"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164" fontId="5" fillId="9" borderId="0" xfId="0" applyNumberFormat="1" applyFont="1" applyFill="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0" fontId="9" fillId="0" borderId="0" xfId="2" applyFon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7" fontId="8" fillId="3" borderId="10" xfId="0" applyNumberFormat="1" applyFont="1" applyFill="1" applyBorder="1" applyAlignment="1">
      <alignment horizontal="center" vertical="center"/>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21" fillId="13" borderId="13" xfId="110" applyFont="1" applyFill="1" applyBorder="1" applyAlignment="1">
      <alignment horizontal="center"/>
    </xf>
    <xf numFmtId="165" fontId="7" fillId="0" borderId="0" xfId="110"/>
    <xf numFmtId="164" fontId="71" fillId="9" borderId="0" xfId="0" applyNumberFormat="1" applyFont="1" applyFill="1" applyAlignment="1">
      <alignment vertical="center" wrapText="1"/>
    </xf>
    <xf numFmtId="4" fontId="0" fillId="49" borderId="7" xfId="0" applyNumberFormat="1" applyFill="1" applyBorder="1"/>
    <xf numFmtId="4" fontId="0" fillId="49" borderId="0" xfId="0" applyNumberFormat="1" applyFill="1"/>
    <xf numFmtId="4" fontId="0" fillId="49" borderId="8" xfId="0" applyNumberFormat="1" applyFill="1" applyBorder="1"/>
    <xf numFmtId="165" fontId="63" fillId="14" borderId="2" xfId="0" applyNumberFormat="1" applyFont="1" applyFill="1" applyBorder="1" applyAlignment="1">
      <alignment horizontal="center"/>
    </xf>
    <xf numFmtId="164" fontId="81" fillId="44" borderId="0" xfId="0" applyNumberFormat="1" applyFont="1" applyFill="1" applyAlignment="1">
      <alignment horizontal="center" vertical="center" wrapText="1"/>
    </xf>
    <xf numFmtId="14" fontId="0" fillId="48" borderId="0" xfId="0" applyNumberFormat="1" applyFill="1"/>
    <xf numFmtId="165" fontId="18" fillId="50" borderId="2" xfId="0" applyNumberFormat="1" applyFont="1" applyFill="1" applyBorder="1"/>
    <xf numFmtId="0" fontId="12" fillId="0" borderId="0" xfId="0" applyFont="1"/>
    <xf numFmtId="0" fontId="13" fillId="0" borderId="0" xfId="0" applyFont="1"/>
    <xf numFmtId="0" fontId="20" fillId="0" borderId="0" xfId="0" applyFont="1"/>
    <xf numFmtId="164" fontId="3" fillId="51" borderId="5" xfId="0" applyNumberFormat="1" applyFont="1" applyFill="1" applyBorder="1" applyAlignment="1">
      <alignment vertical="center" wrapText="1"/>
    </xf>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165" fontId="23" fillId="53" borderId="0" xfId="0" applyNumberFormat="1" applyFont="1" applyFill="1"/>
    <xf numFmtId="165" fontId="23" fillId="52" borderId="0" xfId="0" applyNumberFormat="1" applyFont="1" applyFill="1"/>
    <xf numFmtId="165" fontId="24" fillId="50" borderId="0" xfId="0" applyNumberFormat="1" applyFont="1" applyFill="1"/>
    <xf numFmtId="165" fontId="23" fillId="6" borderId="0" xfId="0" applyNumberFormat="1" applyFont="1" applyFill="1"/>
    <xf numFmtId="0" fontId="63" fillId="12" borderId="0" xfId="0" applyFont="1" applyFill="1"/>
    <xf numFmtId="165" fontId="18" fillId="54" borderId="15" xfId="0" applyNumberFormat="1" applyFont="1" applyFill="1" applyBorder="1" applyAlignment="1">
      <alignment horizontal="center"/>
    </xf>
    <xf numFmtId="4" fontId="2" fillId="54" borderId="2" xfId="0" applyNumberFormat="1" applyFont="1" applyFill="1" applyBorder="1"/>
    <xf numFmtId="165" fontId="21" fillId="54" borderId="13" xfId="110" applyFont="1" applyFill="1" applyBorder="1" applyAlignment="1">
      <alignment horizontal="center"/>
    </xf>
    <xf numFmtId="0" fontId="18" fillId="54" borderId="4" xfId="0" applyFont="1" applyFill="1" applyBorder="1" applyAlignment="1">
      <alignment horizontal="center" vertical="center"/>
    </xf>
    <xf numFmtId="0" fontId="18" fillId="54" borderId="6" xfId="0" applyFont="1" applyFill="1" applyBorder="1" applyAlignment="1">
      <alignment horizontal="center" vertical="center"/>
    </xf>
    <xf numFmtId="0" fontId="18" fillId="54" borderId="7" xfId="0" applyFont="1" applyFill="1" applyBorder="1" applyAlignment="1">
      <alignment horizontal="center" vertical="center"/>
    </xf>
    <xf numFmtId="0" fontId="18" fillId="54" borderId="8" xfId="0" applyFont="1" applyFill="1" applyBorder="1" applyAlignment="1">
      <alignment horizontal="center" vertical="center"/>
    </xf>
    <xf numFmtId="0" fontId="18" fillId="54" borderId="9" xfId="0" applyFont="1" applyFill="1" applyBorder="1" applyAlignment="1">
      <alignment horizontal="center" vertical="center"/>
    </xf>
    <xf numFmtId="0" fontId="18" fillId="54" borderId="11" xfId="0" applyFont="1" applyFill="1" applyBorder="1" applyAlignment="1">
      <alignment horizontal="center" vertical="center"/>
    </xf>
    <xf numFmtId="0" fontId="18" fillId="54" borderId="12" xfId="0" applyFont="1" applyFill="1" applyBorder="1" applyAlignment="1">
      <alignment horizontal="center" vertical="center"/>
    </xf>
    <xf numFmtId="0" fontId="18" fillId="54" borderId="14" xfId="0" applyFont="1" applyFill="1" applyBorder="1" applyAlignment="1">
      <alignment horizontal="center" vertical="center"/>
    </xf>
    <xf numFmtId="0" fontId="18" fillId="54" borderId="13" xfId="0" applyFont="1" applyFill="1" applyBorder="1" applyAlignment="1">
      <alignment horizontal="center" vertical="center"/>
    </xf>
    <xf numFmtId="0" fontId="18" fillId="54" borderId="1" xfId="0" applyFont="1" applyFill="1" applyBorder="1" applyAlignment="1">
      <alignment horizontal="center" vertical="center"/>
    </xf>
    <xf numFmtId="0" fontId="18" fillId="54" borderId="2" xfId="0" applyFont="1" applyFill="1" applyBorder="1" applyAlignment="1">
      <alignment horizontal="center" vertical="center"/>
    </xf>
    <xf numFmtId="0" fontId="18" fillId="54" borderId="3" xfId="0" applyFont="1" applyFill="1" applyBorder="1" applyAlignment="1">
      <alignment horizontal="center" vertical="center"/>
    </xf>
    <xf numFmtId="0" fontId="18" fillId="54" borderId="15" xfId="0" applyFont="1" applyFill="1" applyBorder="1" applyAlignment="1">
      <alignment horizontal="center" vertical="center"/>
    </xf>
    <xf numFmtId="168" fontId="18" fillId="54" borderId="12" xfId="0" applyNumberFormat="1" applyFont="1" applyFill="1" applyBorder="1" applyAlignment="1">
      <alignment horizontal="center" vertical="center" wrapText="1"/>
    </xf>
    <xf numFmtId="168" fontId="18" fillId="54" borderId="13" xfId="0" applyNumberFormat="1" applyFont="1" applyFill="1" applyBorder="1" applyAlignment="1">
      <alignment horizontal="center" vertical="center" wrapText="1"/>
    </xf>
    <xf numFmtId="0" fontId="18" fillId="54" borderId="1" xfId="0" applyFont="1" applyFill="1" applyBorder="1" applyAlignment="1">
      <alignment horizontal="center"/>
    </xf>
    <xf numFmtId="0" fontId="18" fillId="54" borderId="3" xfId="0" applyFont="1" applyFill="1" applyBorder="1" applyAlignment="1">
      <alignment horizontal="center"/>
    </xf>
    <xf numFmtId="0" fontId="18" fillId="54" borderId="12" xfId="0" applyFont="1" applyFill="1" applyBorder="1" applyAlignment="1">
      <alignment horizontal="center" vertical="center" wrapText="1"/>
    </xf>
    <xf numFmtId="0" fontId="18" fillId="54" borderId="14" xfId="0" applyFont="1" applyFill="1" applyBorder="1" applyAlignment="1">
      <alignment horizontal="center" vertical="center" wrapText="1"/>
    </xf>
    <xf numFmtId="0" fontId="18" fillId="54" borderId="13" xfId="0" applyFont="1" applyFill="1" applyBorder="1" applyAlignment="1">
      <alignment horizontal="center" vertical="center" wrapText="1"/>
    </xf>
    <xf numFmtId="166" fontId="18" fillId="54" borderId="12" xfId="0" applyNumberFormat="1" applyFont="1" applyFill="1" applyBorder="1" applyAlignment="1">
      <alignment horizontal="center" vertical="center"/>
    </xf>
    <xf numFmtId="166" fontId="18" fillId="54" borderId="14" xfId="0" applyNumberFormat="1" applyFont="1" applyFill="1" applyBorder="1" applyAlignment="1">
      <alignment horizontal="center" vertical="center"/>
    </xf>
    <xf numFmtId="166" fontId="18" fillId="54" borderId="13"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1" xfId="0" applyFont="1" applyFill="1" applyBorder="1" applyAlignment="1">
      <alignment horizontal="center" vertical="center"/>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18" fillId="13" borderId="1" xfId="0" applyFont="1" applyFill="1" applyBorder="1" applyAlignment="1">
      <alignment horizontal="center" vertical="center"/>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165" fontId="18" fillId="13" borderId="1" xfId="110" applyFont="1" applyFill="1" applyBorder="1" applyAlignment="1">
      <alignment horizontal="center" vertical="center"/>
    </xf>
    <xf numFmtId="165" fontId="18" fillId="13" borderId="2" xfId="110" applyFont="1" applyFill="1" applyBorder="1" applyAlignment="1">
      <alignment horizontal="center" vertical="center"/>
    </xf>
    <xf numFmtId="165" fontId="18" fillId="13" borderId="3" xfId="110" applyFont="1" applyFill="1" applyBorder="1" applyAlignment="1">
      <alignment horizontal="center" vertical="center"/>
    </xf>
    <xf numFmtId="165" fontId="21" fillId="13" borderId="1" xfId="110" applyFont="1" applyFill="1" applyBorder="1" applyAlignment="1">
      <alignment horizontal="center"/>
    </xf>
    <xf numFmtId="165" fontId="21" fillId="13" borderId="3" xfId="110" applyFont="1" applyFill="1" applyBorder="1" applyAlignment="1">
      <alignment horizontal="center"/>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0" fontId="18" fillId="54" borderId="4" xfId="0" applyFont="1" applyFill="1" applyBorder="1" applyAlignment="1">
      <alignment horizontal="center" vertical="center" wrapText="1"/>
    </xf>
    <xf numFmtId="0" fontId="18" fillId="54" borderId="6" xfId="0" applyFont="1" applyFill="1" applyBorder="1" applyAlignment="1">
      <alignment horizontal="center" vertical="center" wrapText="1"/>
    </xf>
    <xf numFmtId="0" fontId="18" fillId="54" borderId="7" xfId="0" applyFont="1" applyFill="1" applyBorder="1" applyAlignment="1">
      <alignment horizontal="center" vertical="center" wrapText="1"/>
    </xf>
    <xf numFmtId="0" fontId="18" fillId="54" borderId="8" xfId="0" applyFont="1" applyFill="1" applyBorder="1" applyAlignment="1">
      <alignment horizontal="center" vertical="center" wrapText="1"/>
    </xf>
    <xf numFmtId="0" fontId="18" fillId="54" borderId="9" xfId="0" applyFont="1" applyFill="1" applyBorder="1" applyAlignment="1">
      <alignment horizontal="center" vertical="center" wrapText="1"/>
    </xf>
    <xf numFmtId="0" fontId="18" fillId="54" borderId="11" xfId="0" applyFont="1" applyFill="1" applyBorder="1" applyAlignment="1">
      <alignment horizontal="center" vertical="center" wrapText="1"/>
    </xf>
    <xf numFmtId="166" fontId="18" fillId="54" borderId="4" xfId="0" applyNumberFormat="1" applyFont="1" applyFill="1" applyBorder="1" applyAlignment="1">
      <alignment horizontal="center" vertical="center"/>
    </xf>
    <xf numFmtId="166" fontId="18" fillId="54" borderId="6" xfId="0" applyNumberFormat="1" applyFont="1" applyFill="1" applyBorder="1" applyAlignment="1">
      <alignment horizontal="center" vertical="center"/>
    </xf>
    <xf numFmtId="166" fontId="18" fillId="54" borderId="7" xfId="0" applyNumberFormat="1" applyFont="1" applyFill="1" applyBorder="1" applyAlignment="1">
      <alignment horizontal="center" vertical="center"/>
    </xf>
    <xf numFmtId="166" fontId="18" fillId="54" borderId="8" xfId="0" applyNumberFormat="1" applyFont="1" applyFill="1" applyBorder="1" applyAlignment="1">
      <alignment horizontal="center" vertical="center"/>
    </xf>
    <xf numFmtId="166" fontId="18" fillId="54" borderId="9" xfId="0" applyNumberFormat="1" applyFont="1" applyFill="1" applyBorder="1" applyAlignment="1">
      <alignment horizontal="center" vertical="center"/>
    </xf>
    <xf numFmtId="166" fontId="18" fillId="54" borderId="11" xfId="0" applyNumberFormat="1" applyFont="1" applyFill="1" applyBorder="1" applyAlignment="1">
      <alignment horizontal="center" vertical="center"/>
    </xf>
    <xf numFmtId="167" fontId="18" fillId="54" borderId="12" xfId="0" applyNumberFormat="1" applyFont="1" applyFill="1" applyBorder="1" applyAlignment="1">
      <alignment horizontal="center" vertical="center" wrapText="1"/>
    </xf>
    <xf numFmtId="167" fontId="18" fillId="54" borderId="14" xfId="0" applyNumberFormat="1" applyFont="1" applyFill="1" applyBorder="1" applyAlignment="1">
      <alignment horizontal="center" vertical="center" wrapText="1"/>
    </xf>
    <xf numFmtId="167" fontId="18" fillId="54" borderId="13" xfId="0" applyNumberFormat="1" applyFont="1" applyFill="1" applyBorder="1" applyAlignment="1">
      <alignment horizontal="center" vertical="center" wrapText="1"/>
    </xf>
    <xf numFmtId="165" fontId="18" fillId="54" borderId="1" xfId="110" applyFont="1" applyFill="1" applyBorder="1" applyAlignment="1">
      <alignment horizontal="center" vertical="center"/>
    </xf>
    <xf numFmtId="165" fontId="18" fillId="54" borderId="2" xfId="110" applyFont="1" applyFill="1" applyBorder="1" applyAlignment="1">
      <alignment horizontal="center" vertical="center"/>
    </xf>
    <xf numFmtId="165" fontId="18" fillId="54" borderId="3" xfId="110" applyFont="1" applyFill="1" applyBorder="1" applyAlignment="1">
      <alignment horizontal="center" vertical="center"/>
    </xf>
    <xf numFmtId="165" fontId="21" fillId="54" borderId="1" xfId="110" applyFont="1" applyFill="1" applyBorder="1" applyAlignment="1">
      <alignment horizontal="center"/>
    </xf>
    <xf numFmtId="165" fontId="21" fillId="54" borderId="3" xfId="110" applyFont="1" applyFill="1" applyBorder="1" applyAlignment="1">
      <alignment horizontal="center"/>
    </xf>
  </cellXfs>
  <cellStyles count="174">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xfId="1" builtinId="5"/>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11">
    <dxf>
      <font>
        <condense val="0"/>
        <extend val="0"/>
        <color indexed="10"/>
      </font>
    </dxf>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1" defaultTableStyle="TableStyleMedium2" defaultPivotStyle="PivotStyleLight16">
    <tableStyle name="Invisible" pivot="0" table="0" count="0" xr9:uid="{FC68A05A-215D-4B8B-9E1F-5349AAD7034E}"/>
  </tableStyles>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47625</xdr:colOff>
      <xdr:row>3</xdr:row>
      <xdr:rowOff>91440</xdr:rowOff>
    </xdr:to>
    <xdr:pic>
      <xdr:nvPicPr>
        <xdr:cNvPr id="2" name="Picture 1" descr="kerius-logo-text">
          <a:extLst>
            <a:ext uri="{FF2B5EF4-FFF2-40B4-BE49-F238E27FC236}">
              <a16:creationId xmlns:a16="http://schemas.microsoft.com/office/drawing/2014/main" id="{2506B89E-9269-4F03-9B28-989ECDFB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26</xdr:col>
      <xdr:colOff>504825</xdr:colOff>
      <xdr:row>2</xdr:row>
      <xdr:rowOff>110490</xdr:rowOff>
    </xdr:to>
    <xdr:pic>
      <xdr:nvPicPr>
        <xdr:cNvPr id="3" name="Picture 1" descr="kerius-logo-text">
          <a:extLst>
            <a:ext uri="{FF2B5EF4-FFF2-40B4-BE49-F238E27FC236}">
              <a16:creationId xmlns:a16="http://schemas.microsoft.com/office/drawing/2014/main" id="{7011A888-B11F-4FED-A84C-BF012E013D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xdr:colOff>
      <xdr:row>0</xdr:row>
      <xdr:rowOff>0</xdr:rowOff>
    </xdr:from>
    <xdr:to>
      <xdr:col>26</xdr:col>
      <xdr:colOff>628651</xdr:colOff>
      <xdr:row>4</xdr:row>
      <xdr:rowOff>65564</xdr:rowOff>
    </xdr:to>
    <xdr:pic>
      <xdr:nvPicPr>
        <xdr:cNvPr id="4" name="Picture 1">
          <a:extLst>
            <a:ext uri="{FF2B5EF4-FFF2-40B4-BE49-F238E27FC236}">
              <a16:creationId xmlns:a16="http://schemas.microsoft.com/office/drawing/2014/main" id="{60F19A7B-E4F5-4BE0-ABB6-DBE98D859B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065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4DA9F02A-ED75-4B55-AC3A-99F8E2C39F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8175"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5" name="Picture 1">
          <a:extLst>
            <a:ext uri="{FF2B5EF4-FFF2-40B4-BE49-F238E27FC236}">
              <a16:creationId xmlns:a16="http://schemas.microsoft.com/office/drawing/2014/main" id="{FD1C1E13-8029-4802-BA20-62B18EC8C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9275" y="0"/>
          <a:ext cx="2541269" cy="1165326"/>
        </a:xfrm>
        <a:prstGeom prst="rect">
          <a:avLst/>
        </a:prstGeom>
      </xdr:spPr>
    </xdr:pic>
    <xdr:clientData/>
  </xdr:twoCellAnchor>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796F323C-539B-4397-8240-A1CAAC46C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Kerius-Interne\Clients\emeis\Rapports_Divers\2024-10-24%20emeis%20-%20%20lissage%20d&#233;bouclement%20mensualis&#233;.xlsx" TargetMode="External"/><Relationship Id="rId1" Type="http://schemas.openxmlformats.org/officeDocument/2006/relationships/externalLinkPath" Target="Rapports_Divers/2024-10-24%20emeis%20-%20%20lissage%20d&#233;bouclement%20mensualis&#2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R GEN0 Monthly"/>
      <sheetName val="EUR GEN0_vJEAN"/>
      <sheetName val="EUR GEN0_vOriginale"/>
      <sheetName val="Disclaimer"/>
    </sheetNames>
    <sheetDataSet>
      <sheetData sheetId="0">
        <row r="46">
          <cell r="O46">
            <v>655074</v>
          </cell>
        </row>
        <row r="47">
          <cell r="O47">
            <v>792351</v>
          </cell>
        </row>
        <row r="48">
          <cell r="O48">
            <v>893177</v>
          </cell>
        </row>
        <row r="49">
          <cell r="O49">
            <v>595800</v>
          </cell>
        </row>
        <row r="50">
          <cell r="O50">
            <v>1459500</v>
          </cell>
        </row>
        <row r="51">
          <cell r="O51">
            <v>835000</v>
          </cell>
        </row>
        <row r="52">
          <cell r="O52">
            <v>790100</v>
          </cell>
        </row>
        <row r="53">
          <cell r="O53">
            <v>895750</v>
          </cell>
        </row>
        <row r="54">
          <cell r="O54">
            <v>-51453</v>
          </cell>
        </row>
        <row r="55">
          <cell r="O55">
            <v>437800</v>
          </cell>
        </row>
        <row r="56">
          <cell r="O56">
            <v>675800</v>
          </cell>
        </row>
        <row r="57">
          <cell r="O57">
            <v>764500</v>
          </cell>
        </row>
        <row r="58">
          <cell r="O58">
            <v>1389500</v>
          </cell>
        </row>
        <row r="59">
          <cell r="O59">
            <v>1400500</v>
          </cell>
        </row>
      </sheetData>
      <sheetData sheetId="1"/>
      <sheetData sheetId="2"/>
      <sheetData sheetId="3"/>
    </sheetDataSet>
  </externalBook>
</externalLink>
</file>

<file path=xl/theme/theme1.xml><?xml version="1.0" encoding="utf-8"?>
<a:theme xmlns:a="http://schemas.openxmlformats.org/drawingml/2006/main" name="Thème Office 2013 – 2022">
  <a:themeElements>
    <a:clrScheme name="Personnalisé 1">
      <a:dk1>
        <a:sysClr val="windowText" lastClr="000000"/>
      </a:dk1>
      <a:lt1>
        <a:sysClr val="window" lastClr="FFFFFF"/>
      </a:lt1>
      <a:dk2>
        <a:srgbClr val="0E2841"/>
      </a:dk2>
      <a:lt2>
        <a:srgbClr val="E8E8E8"/>
      </a:lt2>
      <a:accent1>
        <a:srgbClr val="0A4741"/>
      </a:accent1>
      <a:accent2>
        <a:srgbClr val="E8E8E8"/>
      </a:accent2>
      <a:accent3>
        <a:srgbClr val="0F9383"/>
      </a:accent3>
      <a:accent4>
        <a:srgbClr val="6CD2CB"/>
      </a:accent4>
      <a:accent5>
        <a:srgbClr val="E58B39"/>
      </a:accent5>
      <a:accent6>
        <a:srgbClr val="333333"/>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O54"/>
  <sheetViews>
    <sheetView tabSelected="1" workbookViewId="0">
      <selection activeCell="F13" sqref="F13"/>
    </sheetView>
  </sheetViews>
  <sheetFormatPr baseColWidth="10" defaultColWidth="11.42578125" defaultRowHeight="15" x14ac:dyDescent="0.25"/>
  <cols>
    <col min="1" max="1" width="24.7109375" style="174" customWidth="1"/>
    <col min="2" max="2" width="11.5703125" style="174" customWidth="1"/>
    <col min="3" max="3" width="15.28515625" style="174" customWidth="1"/>
    <col min="4" max="4" width="16.140625" style="174" customWidth="1"/>
    <col min="5" max="5" width="11.28515625" style="174" customWidth="1"/>
    <col min="6" max="6" width="13.5703125" style="174" customWidth="1"/>
    <col min="7" max="7" width="7.28515625" style="174" customWidth="1"/>
    <col min="8" max="8" width="11.85546875" style="174" customWidth="1"/>
    <col min="9" max="9" width="11.42578125" style="174"/>
    <col min="10" max="10" width="15.85546875" style="174" customWidth="1"/>
    <col min="11" max="11" width="78.5703125" style="174" customWidth="1"/>
    <col min="12" max="14" width="11.42578125" style="174"/>
    <col min="15" max="15" width="37.28515625" style="174" customWidth="1"/>
    <col min="16" max="16384" width="11.42578125" style="174"/>
  </cols>
  <sheetData>
    <row r="1" spans="1:15" ht="51" x14ac:dyDescent="0.25">
      <c r="A1" s="167" t="s">
        <v>0</v>
      </c>
      <c r="B1" s="1" t="s">
        <v>1</v>
      </c>
      <c r="C1" s="1" t="s">
        <v>368</v>
      </c>
      <c r="D1" s="1" t="s">
        <v>315</v>
      </c>
      <c r="E1" s="1" t="s">
        <v>2</v>
      </c>
      <c r="F1" s="1" t="s">
        <v>3</v>
      </c>
      <c r="G1" s="1" t="s">
        <v>315</v>
      </c>
      <c r="H1" s="1" t="s">
        <v>4</v>
      </c>
      <c r="I1" s="1" t="s">
        <v>327</v>
      </c>
      <c r="J1" s="1" t="s">
        <v>315</v>
      </c>
      <c r="K1" s="168" t="s">
        <v>24</v>
      </c>
    </row>
    <row r="2" spans="1:15" ht="30" x14ac:dyDescent="0.25">
      <c r="A2" s="175" t="s">
        <v>5</v>
      </c>
      <c r="B2" s="176" t="s">
        <v>6</v>
      </c>
      <c r="C2" s="177">
        <v>-2714176.9818495018</v>
      </c>
      <c r="D2" s="177" t="s">
        <v>367</v>
      </c>
      <c r="E2" s="178"/>
      <c r="F2" s="178">
        <f>I2-E2-C2</f>
        <v>2714176.9818495018</v>
      </c>
      <c r="G2" s="178"/>
      <c r="H2" s="178"/>
      <c r="I2" s="177">
        <v>0</v>
      </c>
      <c r="J2" s="177" t="s">
        <v>378</v>
      </c>
      <c r="K2" s="179" t="s">
        <v>7</v>
      </c>
      <c r="L2" s="212">
        <f>I2-C2</f>
        <v>2714176.9818495018</v>
      </c>
      <c r="N2" s="174" t="s">
        <v>381</v>
      </c>
      <c r="O2" s="174" t="s">
        <v>382</v>
      </c>
    </row>
    <row r="3" spans="1:15" ht="25.5" x14ac:dyDescent="0.25">
      <c r="A3" s="180" t="s">
        <v>8</v>
      </c>
      <c r="B3" s="181" t="s">
        <v>9</v>
      </c>
      <c r="C3" s="182">
        <v>8535487.936413262</v>
      </c>
      <c r="D3" s="182" t="s">
        <v>367</v>
      </c>
      <c r="E3" s="183">
        <f>-2025000-N3-O3</f>
        <v>-3633300</v>
      </c>
      <c r="F3" s="183"/>
      <c r="G3" s="183"/>
      <c r="H3" s="183">
        <f>I3-F3-E3-C3</f>
        <v>-4902187.936413262</v>
      </c>
      <c r="I3" s="182">
        <v>0</v>
      </c>
      <c r="J3" s="182" t="s">
        <v>378</v>
      </c>
      <c r="K3" s="184" t="s">
        <v>10</v>
      </c>
      <c r="L3" s="212">
        <f>I3-C3</f>
        <v>-8535487.936413262</v>
      </c>
      <c r="N3" s="174">
        <v>1023999.9999999999</v>
      </c>
      <c r="O3" s="174">
        <v>584300</v>
      </c>
    </row>
    <row r="4" spans="1:15" ht="38.25" x14ac:dyDescent="0.25">
      <c r="A4" s="180" t="s">
        <v>11</v>
      </c>
      <c r="B4" s="181" t="s">
        <v>9</v>
      </c>
      <c r="C4" s="185">
        <v>147817.32487762067</v>
      </c>
      <c r="D4" s="185" t="s">
        <v>367</v>
      </c>
      <c r="E4" s="183"/>
      <c r="F4" s="186">
        <f>'Lissage VT DEF'!P13</f>
        <v>-713314.86752336554</v>
      </c>
      <c r="G4" s="187" t="s">
        <v>345</v>
      </c>
      <c r="H4" s="183">
        <f>I4-F4-E4-C4</f>
        <v>565497.54264574486</v>
      </c>
      <c r="I4" s="185">
        <f>'2024 12 - G0 Eur'!U10+'2024 12 - G0 Eur'!U12</f>
        <v>0</v>
      </c>
      <c r="J4" s="185" t="s">
        <v>378</v>
      </c>
      <c r="K4" s="184" t="s">
        <v>25</v>
      </c>
      <c r="L4" s="212">
        <f>I4-C4</f>
        <v>-147817.32487762067</v>
      </c>
      <c r="N4" s="174">
        <f>SUM('[1]EUR GEN0 Monthly'!$O$46:$O$59)</f>
        <v>11533399</v>
      </c>
    </row>
    <row r="5" spans="1:15" x14ac:dyDescent="0.25">
      <c r="A5" s="188" t="s">
        <v>12</v>
      </c>
      <c r="B5" s="189"/>
      <c r="C5" s="190">
        <v>5969128.2794413809</v>
      </c>
      <c r="D5" s="190"/>
      <c r="E5" s="190">
        <f>SUBTOTAL(9,E2:E4)</f>
        <v>-3633300</v>
      </c>
      <c r="F5" s="190">
        <f>SUBTOTAL(9,F2:F4)</f>
        <v>2000862.1143261362</v>
      </c>
      <c r="G5" s="190"/>
      <c r="H5" s="190">
        <f>SUBTOTAL(9,H2:H4)</f>
        <v>-4336690.3937675171</v>
      </c>
      <c r="I5" s="190">
        <f>SUBTOTAL(9,I2:I4)</f>
        <v>0</v>
      </c>
      <c r="J5" s="190"/>
      <c r="K5" s="191"/>
      <c r="L5" s="212">
        <f t="shared" ref="L5:L13" si="0">I5-C5</f>
        <v>-5969128.2794413809</v>
      </c>
    </row>
    <row r="6" spans="1:15" ht="25.5" x14ac:dyDescent="0.25">
      <c r="A6" s="175" t="s">
        <v>13</v>
      </c>
      <c r="B6" s="176" t="s">
        <v>6</v>
      </c>
      <c r="C6" s="192">
        <v>57395853.490366042</v>
      </c>
      <c r="D6" s="192" t="s">
        <v>367</v>
      </c>
      <c r="E6" s="178">
        <f>-26285000-N4</f>
        <v>-37818399</v>
      </c>
      <c r="F6" s="178"/>
      <c r="G6" s="178"/>
      <c r="H6" s="183">
        <f>I6-F6-E6-C6</f>
        <v>-19069071.322090849</v>
      </c>
      <c r="I6" s="192">
        <f>'2024 12 - G0 Eur'!V16</f>
        <v>508383.16827519424</v>
      </c>
      <c r="J6" s="192" t="s">
        <v>378</v>
      </c>
      <c r="K6" s="179" t="s">
        <v>14</v>
      </c>
      <c r="L6" s="212">
        <f t="shared" si="0"/>
        <v>-56887470.322090849</v>
      </c>
    </row>
    <row r="7" spans="1:15" ht="25.5" x14ac:dyDescent="0.25">
      <c r="A7" s="175" t="s">
        <v>369</v>
      </c>
      <c r="B7" s="176"/>
      <c r="C7" s="192">
        <v>850591</v>
      </c>
      <c r="D7" s="192"/>
      <c r="E7" s="178"/>
      <c r="F7" s="233">
        <f>I7-C7</f>
        <v>-850591</v>
      </c>
      <c r="G7" s="178"/>
      <c r="H7" s="178"/>
      <c r="I7" s="192">
        <v>0</v>
      </c>
      <c r="J7" s="192"/>
      <c r="K7" s="179" t="s">
        <v>370</v>
      </c>
      <c r="L7" s="212"/>
    </row>
    <row r="8" spans="1:15" ht="24.75" customHeight="1" x14ac:dyDescent="0.25">
      <c r="A8" s="188" t="s">
        <v>15</v>
      </c>
      <c r="B8" s="189"/>
      <c r="C8" s="190">
        <v>57395853.490366042</v>
      </c>
      <c r="D8" s="190"/>
      <c r="E8" s="190">
        <f t="shared" ref="E8" si="1">SUBTOTAL(9,E6)</f>
        <v>-37818399</v>
      </c>
      <c r="F8" s="190">
        <f>SUBTOTAL(9,F6)</f>
        <v>0</v>
      </c>
      <c r="G8" s="190"/>
      <c r="H8" s="190">
        <f>SUBTOTAL(9,H6)</f>
        <v>-19069071.322090849</v>
      </c>
      <c r="I8" s="190">
        <f>SUBTOTAL(9,I6)</f>
        <v>508383.16827519424</v>
      </c>
      <c r="J8" s="190"/>
      <c r="K8" s="191"/>
      <c r="L8" s="212">
        <f t="shared" si="0"/>
        <v>-56887470.322090849</v>
      </c>
    </row>
    <row r="9" spans="1:15" ht="24.75" customHeight="1" x14ac:dyDescent="0.25">
      <c r="A9" s="193" t="s">
        <v>16</v>
      </c>
      <c r="B9" s="194"/>
      <c r="C9" s="195">
        <v>63364981.769807421</v>
      </c>
      <c r="D9" s="195"/>
      <c r="E9" s="195">
        <f>SUBTOTAL(9,E2:E8)</f>
        <v>-41451699</v>
      </c>
      <c r="F9" s="195">
        <f>SUBTOTAL(9,F2:F8)</f>
        <v>1150271.1143261362</v>
      </c>
      <c r="G9" s="195"/>
      <c r="H9" s="195">
        <f>SUBTOTAL(9,H2:H8)</f>
        <v>-23405761.715858366</v>
      </c>
      <c r="I9" s="195">
        <f>SUBTOTAL(9,I2:I8)</f>
        <v>508383.16827519424</v>
      </c>
      <c r="J9" s="195"/>
      <c r="K9" s="196"/>
      <c r="L9" s="212">
        <f t="shared" si="0"/>
        <v>-62856598.601532228</v>
      </c>
    </row>
    <row r="10" spans="1:15" ht="24.75" customHeight="1" x14ac:dyDescent="0.25">
      <c r="A10" s="180" t="s">
        <v>19</v>
      </c>
      <c r="B10" s="181" t="s">
        <v>17</v>
      </c>
      <c r="C10" s="197">
        <v>0</v>
      </c>
      <c r="D10" s="222" t="s">
        <v>367</v>
      </c>
      <c r="E10" s="181"/>
      <c r="F10" s="183">
        <f>I10-C10</f>
        <v>0</v>
      </c>
      <c r="G10" s="183"/>
      <c r="H10" s="181"/>
      <c r="I10" s="222">
        <v>0</v>
      </c>
      <c r="J10" s="222" t="s">
        <v>378</v>
      </c>
      <c r="K10" s="184" t="s">
        <v>18</v>
      </c>
      <c r="L10" s="212">
        <f t="shared" si="0"/>
        <v>0</v>
      </c>
    </row>
    <row r="11" spans="1:15" x14ac:dyDescent="0.25">
      <c r="A11" s="193" t="s">
        <v>20</v>
      </c>
      <c r="B11" s="194"/>
      <c r="C11" s="195">
        <v>0</v>
      </c>
      <c r="D11" s="195"/>
      <c r="E11" s="195">
        <f>SUBTOTAL(9,E10:E10)</f>
        <v>0</v>
      </c>
      <c r="F11" s="195">
        <f>SUBTOTAL(9,F10:F10)</f>
        <v>0</v>
      </c>
      <c r="G11" s="195"/>
      <c r="H11" s="195">
        <f>SUBTOTAL(9,H10:H10)</f>
        <v>0</v>
      </c>
      <c r="I11" s="195">
        <f>SUBTOTAL(9,I10:I10)</f>
        <v>0</v>
      </c>
      <c r="J11" s="195"/>
      <c r="K11" s="196"/>
      <c r="L11" s="212">
        <f t="shared" si="0"/>
        <v>0</v>
      </c>
    </row>
    <row r="12" spans="1:15" x14ac:dyDescent="0.25">
      <c r="A12" s="198" t="s">
        <v>21</v>
      </c>
      <c r="B12" s="199"/>
      <c r="C12" s="200">
        <v>63364981.769807421</v>
      </c>
      <c r="D12" s="200"/>
      <c r="E12" s="200">
        <f>SUBTOTAL(9,E2:E11)</f>
        <v>-41451699</v>
      </c>
      <c r="F12" s="200">
        <f>SUBTOTAL(9,F2:F11)</f>
        <v>1150271.1143261362</v>
      </c>
      <c r="G12" s="200"/>
      <c r="H12" s="200">
        <f>SUBTOTAL(9,H2:H11)</f>
        <v>-23405761.715858366</v>
      </c>
      <c r="I12" s="200">
        <f>SUBTOTAL(9,I2:I11)</f>
        <v>508383.16827519424</v>
      </c>
      <c r="J12" s="200"/>
      <c r="K12" s="201"/>
      <c r="L12" s="212">
        <f t="shared" si="0"/>
        <v>-62856598.601532228</v>
      </c>
    </row>
    <row r="13" spans="1:15" x14ac:dyDescent="0.25">
      <c r="A13" s="180" t="s">
        <v>22</v>
      </c>
      <c r="B13" s="181"/>
      <c r="C13" s="202">
        <v>7991547.6282494012</v>
      </c>
      <c r="D13" s="202" t="s">
        <v>367</v>
      </c>
      <c r="E13" s="183"/>
      <c r="F13" s="183">
        <f>I13-C13</f>
        <v>-7991503.5869665369</v>
      </c>
      <c r="G13" s="183"/>
      <c r="H13" s="183"/>
      <c r="I13" s="202">
        <f>'2024 12 - G0 Eur'!W16</f>
        <v>44.041282864166647</v>
      </c>
      <c r="J13" s="202" t="s">
        <v>378</v>
      </c>
      <c r="K13" s="203"/>
      <c r="L13" s="212">
        <f t="shared" si="0"/>
        <v>-7991503.5869665369</v>
      </c>
    </row>
    <row r="14" spans="1:15" ht="25.5" x14ac:dyDescent="0.25">
      <c r="A14" s="181" t="s">
        <v>363</v>
      </c>
      <c r="B14" s="181"/>
      <c r="C14" s="174" t="s">
        <v>362</v>
      </c>
      <c r="E14" s="183"/>
      <c r="F14" s="183"/>
      <c r="G14" s="183"/>
      <c r="H14" s="183"/>
      <c r="I14" s="227" t="s">
        <v>362</v>
      </c>
      <c r="K14" s="203" t="s">
        <v>23</v>
      </c>
      <c r="L14" s="212"/>
    </row>
    <row r="15" spans="1:15" x14ac:dyDescent="0.25">
      <c r="I15" s="212"/>
    </row>
    <row r="16" spans="1:15" x14ac:dyDescent="0.25">
      <c r="A16" s="204" t="s">
        <v>322</v>
      </c>
    </row>
    <row r="17" spans="1:2" ht="30" x14ac:dyDescent="0.25">
      <c r="A17" s="205" t="s">
        <v>323</v>
      </c>
      <c r="B17" s="174" t="s">
        <v>326</v>
      </c>
    </row>
    <row r="18" spans="1:2" ht="30" x14ac:dyDescent="0.25">
      <c r="A18" s="205" t="s">
        <v>324</v>
      </c>
      <c r="B18" s="174" t="s">
        <v>325</v>
      </c>
    </row>
    <row r="20" spans="1:2" x14ac:dyDescent="0.25">
      <c r="A20" s="204" t="s">
        <v>318</v>
      </c>
    </row>
    <row r="21" spans="1:2" ht="60" x14ac:dyDescent="0.25">
      <c r="A21" s="205" t="s">
        <v>319</v>
      </c>
    </row>
    <row r="23" spans="1:2" x14ac:dyDescent="0.25">
      <c r="A23" s="206" t="s">
        <v>320</v>
      </c>
    </row>
    <row r="24" spans="1:2" ht="105" x14ac:dyDescent="0.25">
      <c r="A24" s="174" t="s">
        <v>321</v>
      </c>
      <c r="B24" s="169"/>
    </row>
    <row r="25" spans="1:2" ht="75" x14ac:dyDescent="0.25">
      <c r="A25" s="174" t="s">
        <v>328</v>
      </c>
      <c r="B25" s="169"/>
    </row>
    <row r="26" spans="1:2" x14ac:dyDescent="0.25">
      <c r="A26" s="207"/>
      <c r="B26" s="170"/>
    </row>
    <row r="27" spans="1:2" x14ac:dyDescent="0.25">
      <c r="A27" s="208" t="s">
        <v>329</v>
      </c>
      <c r="B27" s="170"/>
    </row>
    <row r="28" spans="1:2" ht="60" x14ac:dyDescent="0.25">
      <c r="A28" s="207" t="s">
        <v>330</v>
      </c>
      <c r="B28" s="170"/>
    </row>
    <row r="29" spans="1:2" ht="30" x14ac:dyDescent="0.25">
      <c r="A29" s="207" t="s">
        <v>331</v>
      </c>
      <c r="B29" s="170"/>
    </row>
    <row r="30" spans="1:2" ht="60" x14ac:dyDescent="0.25">
      <c r="A30" s="207" t="s">
        <v>333</v>
      </c>
      <c r="B30" s="170"/>
    </row>
    <row r="38" spans="1:4" x14ac:dyDescent="0.25">
      <c r="A38" s="209"/>
      <c r="B38" s="210" t="s">
        <v>338</v>
      </c>
      <c r="C38" s="211"/>
      <c r="D38" s="211" t="s">
        <v>342</v>
      </c>
    </row>
    <row r="39" spans="1:4" ht="30" x14ac:dyDescent="0.25">
      <c r="A39" s="174" t="s">
        <v>8</v>
      </c>
      <c r="B39" s="212">
        <f>C3</f>
        <v>8535487.936413262</v>
      </c>
      <c r="C39" s="212"/>
      <c r="D39" s="212">
        <f>C39-B39</f>
        <v>-8535487.936413262</v>
      </c>
    </row>
    <row r="40" spans="1:4" x14ac:dyDescent="0.25">
      <c r="A40" s="174" t="s">
        <v>11</v>
      </c>
      <c r="B40" s="212">
        <f>C4</f>
        <v>147817.32487762067</v>
      </c>
      <c r="C40" s="212"/>
      <c r="D40" s="212">
        <f t="shared" ref="D40:D42" si="2">C40-B40</f>
        <v>-147817.32487762067</v>
      </c>
    </row>
    <row r="41" spans="1:4" x14ac:dyDescent="0.25">
      <c r="A41" s="174" t="s">
        <v>336</v>
      </c>
      <c r="B41" s="212">
        <f>C6</f>
        <v>57395853.490366042</v>
      </c>
      <c r="C41" s="212"/>
      <c r="D41" s="212">
        <f>C41-B41</f>
        <v>-57395853.490366042</v>
      </c>
    </row>
    <row r="42" spans="1:4" ht="30" x14ac:dyDescent="0.25">
      <c r="A42" s="174" t="s">
        <v>337</v>
      </c>
      <c r="B42" s="212">
        <f>SUM(B39:B41)</f>
        <v>66079158.75165692</v>
      </c>
      <c r="C42" s="212"/>
      <c r="D42" s="212">
        <f t="shared" si="2"/>
        <v>-66079158.75165692</v>
      </c>
    </row>
    <row r="43" spans="1:4" x14ac:dyDescent="0.25">
      <c r="B43" s="212"/>
      <c r="C43" s="212"/>
    </row>
    <row r="46" spans="1:4" ht="30" x14ac:dyDescent="0.25">
      <c r="A46" s="207" t="s">
        <v>334</v>
      </c>
      <c r="B46" s="173">
        <f>F4</f>
        <v>-713314.86752336554</v>
      </c>
      <c r="C46" s="171"/>
      <c r="D46" s="172"/>
    </row>
    <row r="47" spans="1:4" x14ac:dyDescent="0.25">
      <c r="A47" s="207" t="s">
        <v>335</v>
      </c>
      <c r="B47" s="173">
        <f>SUM(B46:B46)</f>
        <v>-713314.86752336554</v>
      </c>
      <c r="C47" s="171"/>
      <c r="D47" s="171"/>
    </row>
    <row r="51" spans="1:2" ht="30" x14ac:dyDescent="0.25">
      <c r="A51" s="174" t="s">
        <v>339</v>
      </c>
      <c r="B51" s="212">
        <f>B42</f>
        <v>66079158.75165692</v>
      </c>
    </row>
    <row r="52" spans="1:2" x14ac:dyDescent="0.25">
      <c r="A52" s="174" t="s">
        <v>335</v>
      </c>
      <c r="B52" s="212">
        <f>B47</f>
        <v>-713314.86752336554</v>
      </c>
    </row>
    <row r="53" spans="1:2" x14ac:dyDescent="0.25">
      <c r="A53" s="174" t="s">
        <v>340</v>
      </c>
      <c r="B53" s="212">
        <f>C42-B51-B52</f>
        <v>-65365843.884133555</v>
      </c>
    </row>
    <row r="54" spans="1:2" ht="30" x14ac:dyDescent="0.25">
      <c r="A54" s="174" t="s">
        <v>341</v>
      </c>
      <c r="B54" s="212">
        <f>SUM(B51:B53)</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6420-7351-4D62-8EE3-0373B640CC43}">
  <sheetPr>
    <pageSetUpPr fitToPage="1"/>
  </sheetPr>
  <dimension ref="A1:CM3003"/>
  <sheetViews>
    <sheetView showGridLines="0" zoomScaleNormal="100" workbookViewId="0">
      <pane ySplit="8" topLeftCell="A9" activePane="bottomLeft" state="frozen"/>
      <selection pane="bottomLeft" activeCell="G31" sqref="G31"/>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5.140625" style="97" bestFit="1" customWidth="1"/>
    <col min="9" max="9" width="4.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21" bestFit="1" customWidth="1"/>
    <col min="15" max="15" width="3.85546875" style="95" bestFit="1" customWidth="1"/>
    <col min="16" max="16" width="11.7109375" style="221" bestFit="1" customWidth="1"/>
    <col min="17" max="17" width="1.7109375" customWidth="1"/>
    <col min="18" max="18" width="6" style="152" bestFit="1" customWidth="1"/>
    <col min="19" max="19" width="10.140625" style="221" bestFit="1" customWidth="1"/>
    <col min="20" max="20" width="12.42578125" style="221" bestFit="1" customWidth="1"/>
    <col min="21" max="21" width="10.140625" style="221" bestFit="1" customWidth="1"/>
    <col min="22" max="22" width="11" style="221" bestFit="1" customWidth="1"/>
    <col min="23" max="23" width="15.140625" style="221" bestFit="1" customWidth="1"/>
    <col min="24" max="24" width="1.7109375" customWidth="1"/>
    <col min="25" max="25" width="42.140625" bestFit="1" customWidth="1"/>
    <col min="26" max="26" width="12.7109375" style="131" customWidth="1"/>
  </cols>
  <sheetData>
    <row r="1" spans="1:91" s="34" customFormat="1" ht="30" x14ac:dyDescent="0.4">
      <c r="A1" s="28" t="s">
        <v>377</v>
      </c>
      <c r="B1" s="29"/>
      <c r="C1" s="29"/>
      <c r="D1" s="30"/>
      <c r="E1" s="31"/>
      <c r="F1" s="31"/>
      <c r="G1" s="31"/>
      <c r="H1" s="32"/>
      <c r="I1" s="32"/>
      <c r="J1" s="33"/>
      <c r="K1" s="32"/>
      <c r="L1" s="32"/>
      <c r="N1" s="215"/>
      <c r="P1" s="36"/>
      <c r="R1" s="37"/>
      <c r="S1" s="36"/>
      <c r="T1" s="216"/>
      <c r="U1" s="216"/>
      <c r="V1" s="217"/>
      <c r="W1" s="217"/>
      <c r="Z1" s="32"/>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row>
    <row r="2" spans="1:91" s="43" customFormat="1" ht="15.75" x14ac:dyDescent="0.25">
      <c r="A2" s="273" t="s">
        <v>383</v>
      </c>
      <c r="B2" s="273"/>
      <c r="C2" s="273"/>
      <c r="D2" s="273"/>
      <c r="E2" s="40"/>
      <c r="F2" s="40"/>
      <c r="G2" s="40"/>
      <c r="H2" s="41"/>
      <c r="I2" s="41"/>
      <c r="J2" s="42"/>
      <c r="K2" s="41"/>
      <c r="L2" s="41"/>
      <c r="N2" s="218"/>
      <c r="P2" s="45"/>
      <c r="R2" s="46"/>
      <c r="S2" s="45"/>
      <c r="T2" s="219"/>
      <c r="U2" s="219"/>
      <c r="V2" s="219"/>
      <c r="W2" s="219"/>
      <c r="Z2" s="4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c r="BA2" s="231"/>
      <c r="BB2" s="231"/>
      <c r="BC2" s="231"/>
      <c r="BD2" s="231"/>
      <c r="BE2" s="231"/>
      <c r="BF2" s="231"/>
      <c r="BG2" s="231"/>
      <c r="BH2" s="231"/>
      <c r="BI2" s="231"/>
      <c r="BJ2" s="231"/>
      <c r="BK2" s="231"/>
      <c r="BL2" s="231"/>
      <c r="BM2" s="231"/>
      <c r="BN2" s="231"/>
      <c r="BO2" s="231"/>
      <c r="BP2" s="231"/>
      <c r="BQ2" s="231"/>
      <c r="BR2" s="231"/>
      <c r="BS2" s="231"/>
      <c r="BT2" s="231"/>
      <c r="BU2" s="231"/>
      <c r="BV2" s="231"/>
      <c r="BW2" s="231"/>
      <c r="BX2" s="231"/>
      <c r="BY2" s="231"/>
      <c r="BZ2" s="231"/>
      <c r="CA2" s="231"/>
      <c r="CB2" s="231"/>
      <c r="CC2" s="231"/>
      <c r="CD2" s="231"/>
      <c r="CE2" s="231"/>
      <c r="CF2" s="231"/>
      <c r="CG2" s="231"/>
      <c r="CH2" s="231"/>
      <c r="CI2" s="231"/>
      <c r="CJ2" s="231"/>
      <c r="CK2" s="231"/>
      <c r="CL2" s="231"/>
      <c r="CM2" s="231"/>
    </row>
    <row r="3" spans="1:91" s="43" customFormat="1" ht="15.75" x14ac:dyDescent="0.25">
      <c r="A3" s="274" t="s">
        <v>384</v>
      </c>
      <c r="B3" s="274"/>
      <c r="C3" s="274"/>
      <c r="D3" s="274"/>
      <c r="E3" s="40"/>
      <c r="F3" s="40"/>
      <c r="G3" s="40"/>
      <c r="H3" s="41"/>
      <c r="I3" s="41"/>
      <c r="J3" s="42"/>
      <c r="K3" s="41"/>
      <c r="L3" s="41"/>
      <c r="N3" s="218"/>
      <c r="P3" s="45"/>
      <c r="R3" s="46"/>
      <c r="S3" s="45"/>
      <c r="T3" s="219"/>
      <c r="U3" s="219"/>
      <c r="V3" s="219"/>
      <c r="W3" s="219"/>
      <c r="Z3" s="4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31"/>
      <c r="BG3" s="231"/>
      <c r="BH3" s="231"/>
      <c r="BI3" s="231"/>
      <c r="BJ3" s="231"/>
      <c r="BK3" s="231"/>
      <c r="BL3" s="231"/>
      <c r="BM3" s="231"/>
      <c r="BN3" s="231"/>
      <c r="BO3" s="231"/>
      <c r="BP3" s="231"/>
      <c r="BQ3" s="231"/>
      <c r="BR3" s="231"/>
      <c r="BS3" s="231"/>
      <c r="BT3" s="231"/>
      <c r="BU3" s="231"/>
      <c r="BV3" s="231"/>
      <c r="BW3" s="231"/>
      <c r="BX3" s="231"/>
      <c r="BY3" s="231"/>
      <c r="BZ3" s="231"/>
      <c r="CA3" s="231"/>
      <c r="CB3" s="231"/>
      <c r="CC3" s="231"/>
      <c r="CD3" s="231"/>
      <c r="CE3" s="231"/>
      <c r="CF3" s="231"/>
      <c r="CG3" s="231"/>
      <c r="CH3" s="231"/>
      <c r="CI3" s="231"/>
      <c r="CJ3" s="231"/>
      <c r="CK3" s="231"/>
      <c r="CL3" s="231"/>
      <c r="CM3" s="231"/>
    </row>
    <row r="4" spans="1:91" s="43" customFormat="1" ht="15.75" x14ac:dyDescent="0.25">
      <c r="A4" s="48"/>
      <c r="B4" s="48"/>
      <c r="C4" s="48"/>
      <c r="D4" s="49"/>
      <c r="E4" s="50"/>
      <c r="F4" s="51"/>
      <c r="G4" s="51"/>
      <c r="H4" s="52"/>
      <c r="I4" s="52"/>
      <c r="J4" s="53"/>
      <c r="K4" s="52"/>
      <c r="L4" s="52"/>
      <c r="M4" s="54"/>
      <c r="N4" s="218"/>
      <c r="O4" s="54"/>
      <c r="P4" s="218"/>
      <c r="Q4" s="55"/>
      <c r="R4" s="150"/>
      <c r="S4" s="219"/>
      <c r="T4" s="219"/>
      <c r="U4" s="219"/>
      <c r="V4" s="326" t="s">
        <v>57</v>
      </c>
      <c r="W4" s="326"/>
      <c r="Z4" s="4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c r="BQ4" s="231"/>
      <c r="BR4" s="231"/>
      <c r="BS4" s="231"/>
      <c r="BT4" s="231"/>
      <c r="BU4" s="231"/>
      <c r="BV4" s="231"/>
      <c r="BW4" s="231"/>
      <c r="BX4" s="231"/>
      <c r="BY4" s="231"/>
      <c r="BZ4" s="231"/>
      <c r="CA4" s="231"/>
      <c r="CB4" s="231"/>
      <c r="CC4" s="231"/>
      <c r="CD4" s="231"/>
      <c r="CE4" s="231"/>
      <c r="CF4" s="231"/>
      <c r="CG4" s="231"/>
      <c r="CH4" s="231"/>
      <c r="CI4" s="231"/>
      <c r="CJ4" s="231"/>
      <c r="CK4" s="231"/>
      <c r="CL4" s="231"/>
      <c r="CM4" s="231"/>
    </row>
    <row r="5" spans="1:91" s="43" customFormat="1" ht="15.75" x14ac:dyDescent="0.25">
      <c r="A5" s="48"/>
      <c r="B5" s="48"/>
      <c r="C5" s="48"/>
      <c r="D5" s="49"/>
      <c r="E5" s="50"/>
      <c r="F5" s="51"/>
      <c r="G5" s="51"/>
      <c r="H5" s="52"/>
      <c r="I5" s="52"/>
      <c r="J5" s="53"/>
      <c r="K5" s="52"/>
      <c r="L5" s="52"/>
      <c r="M5" s="54"/>
      <c r="N5" s="218"/>
      <c r="O5" s="54"/>
      <c r="P5" s="218"/>
      <c r="Q5" s="55"/>
      <c r="R5" s="151"/>
      <c r="S5" s="219"/>
      <c r="T5" s="219"/>
      <c r="U5" s="219"/>
      <c r="V5" s="327" t="s">
        <v>58</v>
      </c>
      <c r="W5" s="327"/>
      <c r="Z5" s="4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c r="BQ5" s="231"/>
      <c r="BR5" s="231"/>
      <c r="BS5" s="231"/>
      <c r="BT5" s="231"/>
      <c r="BU5" s="231"/>
      <c r="BV5" s="231"/>
      <c r="BW5" s="231"/>
      <c r="BX5" s="231"/>
      <c r="BY5" s="231"/>
      <c r="BZ5" s="231"/>
      <c r="CA5" s="231"/>
      <c r="CB5" s="231"/>
      <c r="CC5" s="231"/>
      <c r="CD5" s="231"/>
      <c r="CE5" s="231"/>
      <c r="CF5" s="231"/>
      <c r="CG5" s="231"/>
      <c r="CH5" s="231"/>
      <c r="CI5" s="231"/>
      <c r="CJ5" s="231"/>
      <c r="CK5" s="231"/>
      <c r="CL5" s="231"/>
      <c r="CM5" s="231"/>
    </row>
    <row r="6" spans="1:91" s="59" customFormat="1" ht="12.75" x14ac:dyDescent="0.2">
      <c r="A6" s="265" t="s">
        <v>59</v>
      </c>
      <c r="B6" s="260" t="s">
        <v>33</v>
      </c>
      <c r="C6" s="265" t="s">
        <v>60</v>
      </c>
      <c r="D6" s="254" t="s">
        <v>61</v>
      </c>
      <c r="E6" s="268" t="s">
        <v>62</v>
      </c>
      <c r="F6" s="268" t="s">
        <v>63</v>
      </c>
      <c r="G6" s="268" t="s">
        <v>64</v>
      </c>
      <c r="H6" s="334" t="s">
        <v>65</v>
      </c>
      <c r="I6" s="335"/>
      <c r="J6" s="340" t="s">
        <v>66</v>
      </c>
      <c r="K6" s="334" t="s">
        <v>67</v>
      </c>
      <c r="L6" s="335"/>
      <c r="M6" s="248" t="s">
        <v>68</v>
      </c>
      <c r="N6" s="249"/>
      <c r="O6" s="328" t="s">
        <v>69</v>
      </c>
      <c r="P6" s="329"/>
      <c r="Q6" s="58"/>
      <c r="R6" s="258" t="s">
        <v>70</v>
      </c>
      <c r="S6" s="258"/>
      <c r="T6" s="258"/>
      <c r="U6" s="258"/>
      <c r="V6" s="258"/>
      <c r="W6" s="259"/>
      <c r="Y6" s="254" t="s">
        <v>71</v>
      </c>
      <c r="Z6" s="265" t="s">
        <v>348</v>
      </c>
      <c r="AA6" s="232"/>
      <c r="AB6" s="232"/>
      <c r="AC6" s="232"/>
      <c r="AD6" s="232"/>
      <c r="AE6" s="232"/>
      <c r="AF6" s="232"/>
      <c r="AG6" s="232"/>
      <c r="AH6" s="232"/>
      <c r="AI6" s="232"/>
      <c r="AJ6" s="232"/>
      <c r="AK6" s="232"/>
      <c r="AL6" s="232"/>
      <c r="AM6" s="232"/>
      <c r="AN6" s="232"/>
      <c r="AO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c r="BX6" s="232"/>
      <c r="BY6" s="232"/>
      <c r="BZ6" s="232"/>
      <c r="CA6" s="232"/>
      <c r="CB6" s="232"/>
      <c r="CC6" s="232"/>
      <c r="CD6" s="232"/>
      <c r="CE6" s="232"/>
      <c r="CF6" s="232"/>
      <c r="CG6" s="232"/>
      <c r="CH6" s="232"/>
      <c r="CI6" s="232"/>
      <c r="CJ6" s="232"/>
      <c r="CK6" s="232"/>
      <c r="CL6" s="232"/>
      <c r="CM6" s="232"/>
    </row>
    <row r="7" spans="1:91" s="59" customFormat="1" ht="12.75" x14ac:dyDescent="0.2">
      <c r="A7" s="266"/>
      <c r="B7" s="260"/>
      <c r="C7" s="266"/>
      <c r="D7" s="255"/>
      <c r="E7" s="269"/>
      <c r="F7" s="269"/>
      <c r="G7" s="269"/>
      <c r="H7" s="336"/>
      <c r="I7" s="337"/>
      <c r="J7" s="341"/>
      <c r="K7" s="336"/>
      <c r="L7" s="337"/>
      <c r="M7" s="250"/>
      <c r="N7" s="251"/>
      <c r="O7" s="330"/>
      <c r="P7" s="331"/>
      <c r="Q7" s="58"/>
      <c r="R7" s="343" t="s">
        <v>72</v>
      </c>
      <c r="S7" s="344"/>
      <c r="T7" s="344"/>
      <c r="U7" s="344"/>
      <c r="V7" s="344"/>
      <c r="W7" s="345"/>
      <c r="Y7" s="255"/>
      <c r="Z7" s="255"/>
      <c r="AA7" s="232"/>
      <c r="AB7" s="232"/>
      <c r="AC7" s="232"/>
      <c r="AD7" s="232"/>
      <c r="AE7" s="232"/>
      <c r="AF7" s="232"/>
      <c r="AG7" s="232"/>
      <c r="AH7" s="232"/>
      <c r="AI7" s="232"/>
      <c r="AJ7" s="232"/>
      <c r="AK7" s="232"/>
      <c r="AL7" s="232"/>
      <c r="AM7" s="232"/>
      <c r="AN7" s="232"/>
      <c r="AO7" s="232"/>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c r="BX7" s="232"/>
      <c r="BY7" s="232"/>
      <c r="BZ7" s="232"/>
      <c r="CA7" s="232"/>
      <c r="CB7" s="232"/>
      <c r="CC7" s="232"/>
      <c r="CD7" s="232"/>
      <c r="CE7" s="232"/>
      <c r="CF7" s="232"/>
      <c r="CG7" s="232"/>
      <c r="CH7" s="232"/>
      <c r="CI7" s="232"/>
      <c r="CJ7" s="232"/>
      <c r="CK7" s="232"/>
      <c r="CL7" s="232"/>
      <c r="CM7" s="232"/>
    </row>
    <row r="8" spans="1:91" s="59" customFormat="1" ht="12.75" x14ac:dyDescent="0.2">
      <c r="A8" s="267"/>
      <c r="B8" s="260"/>
      <c r="C8" s="267"/>
      <c r="D8" s="256"/>
      <c r="E8" s="270"/>
      <c r="F8" s="270"/>
      <c r="G8" s="270"/>
      <c r="H8" s="338"/>
      <c r="I8" s="339"/>
      <c r="J8" s="342"/>
      <c r="K8" s="338"/>
      <c r="L8" s="339"/>
      <c r="M8" s="252"/>
      <c r="N8" s="253"/>
      <c r="O8" s="332"/>
      <c r="P8" s="333"/>
      <c r="Q8" s="58"/>
      <c r="R8" s="346" t="s">
        <v>73</v>
      </c>
      <c r="S8" s="347"/>
      <c r="T8" s="247" t="s">
        <v>74</v>
      </c>
      <c r="U8" s="247" t="s">
        <v>75</v>
      </c>
      <c r="V8" s="247" t="s">
        <v>76</v>
      </c>
      <c r="W8" s="247" t="s">
        <v>77</v>
      </c>
      <c r="Y8" s="256"/>
      <c r="Z8" s="256"/>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346</v>
      </c>
      <c r="C10" s="69">
        <v>1</v>
      </c>
      <c r="D10" s="69" t="s">
        <v>372</v>
      </c>
      <c r="E10" s="70">
        <v>42824</v>
      </c>
      <c r="F10" s="70">
        <v>43830</v>
      </c>
      <c r="G10" s="70">
        <v>46477</v>
      </c>
      <c r="H10" s="69" t="s">
        <v>94</v>
      </c>
      <c r="I10" s="69" t="s">
        <v>86</v>
      </c>
      <c r="J10" s="71">
        <v>4.2500000000000003E-3</v>
      </c>
      <c r="K10" s="69" t="s">
        <v>95</v>
      </c>
      <c r="L10" s="69" t="s">
        <v>371</v>
      </c>
      <c r="M10" s="69" t="s">
        <v>72</v>
      </c>
      <c r="N10" s="72">
        <v>2688186.81</v>
      </c>
      <c r="O10" s="69" t="s">
        <v>72</v>
      </c>
      <c r="P10" s="72">
        <v>812499.99</v>
      </c>
      <c r="Q10" s="69"/>
      <c r="R10" s="73">
        <v>2.0892916523387175E-2</v>
      </c>
      <c r="S10" s="74">
        <v>16975.494466322914</v>
      </c>
      <c r="T10" s="74">
        <v>16975.494466322914</v>
      </c>
      <c r="U10" s="74">
        <v>0</v>
      </c>
      <c r="V10" s="74">
        <v>16975.494466322914</v>
      </c>
      <c r="W10" s="74">
        <v>0</v>
      </c>
      <c r="X10" s="75"/>
      <c r="Y10" s="75" t="s">
        <v>373</v>
      </c>
    </row>
    <row r="11" spans="1:91" x14ac:dyDescent="0.25">
      <c r="A11" s="69" t="s">
        <v>79</v>
      </c>
      <c r="B11" s="69" t="s">
        <v>350</v>
      </c>
      <c r="C11" s="69">
        <v>27</v>
      </c>
      <c r="D11" s="69" t="s">
        <v>80</v>
      </c>
      <c r="E11" s="70">
        <v>44027</v>
      </c>
      <c r="F11" s="70">
        <v>44027</v>
      </c>
      <c r="G11" s="70">
        <v>47662</v>
      </c>
      <c r="H11" s="69" t="s">
        <v>94</v>
      </c>
      <c r="I11" s="69" t="s">
        <v>86</v>
      </c>
      <c r="J11" s="71">
        <v>0</v>
      </c>
      <c r="K11" s="69" t="s">
        <v>95</v>
      </c>
      <c r="L11" s="69" t="s">
        <v>371</v>
      </c>
      <c r="M11" s="69" t="s">
        <v>72</v>
      </c>
      <c r="N11" s="72">
        <v>12000000</v>
      </c>
      <c r="O11" s="69" t="s">
        <v>72</v>
      </c>
      <c r="P11" s="72">
        <v>8600000</v>
      </c>
      <c r="Q11" s="69"/>
      <c r="R11" s="73">
        <v>8.3399822861061484E-2</v>
      </c>
      <c r="S11" s="74">
        <v>717238.47660512873</v>
      </c>
      <c r="T11" s="74">
        <v>717238.47660512873</v>
      </c>
      <c r="U11" s="74">
        <v>0</v>
      </c>
      <c r="V11" s="74">
        <v>717238.47660512873</v>
      </c>
      <c r="W11" s="74">
        <v>0</v>
      </c>
      <c r="X11" s="75"/>
      <c r="Y11" s="75" t="s">
        <v>374</v>
      </c>
    </row>
    <row r="12" spans="1:91" x14ac:dyDescent="0.25">
      <c r="A12" s="69" t="s">
        <v>79</v>
      </c>
      <c r="B12" s="69" t="s">
        <v>343</v>
      </c>
      <c r="C12" s="69">
        <v>29</v>
      </c>
      <c r="D12" s="69" t="s">
        <v>248</v>
      </c>
      <c r="E12" s="70">
        <v>41334</v>
      </c>
      <c r="F12" s="70">
        <v>42185</v>
      </c>
      <c r="G12" s="70">
        <v>49489</v>
      </c>
      <c r="H12" s="69" t="s">
        <v>94</v>
      </c>
      <c r="I12" s="69" t="s">
        <v>86</v>
      </c>
      <c r="J12" s="71">
        <v>4.5600000000000002E-2</v>
      </c>
      <c r="K12" s="69" t="s">
        <v>95</v>
      </c>
      <c r="L12" s="69" t="s">
        <v>371</v>
      </c>
      <c r="M12" s="69" t="s">
        <v>72</v>
      </c>
      <c r="N12" s="72">
        <v>7650000</v>
      </c>
      <c r="O12" s="69" t="s">
        <v>72</v>
      </c>
      <c r="P12" s="72">
        <v>4227631.57</v>
      </c>
      <c r="Q12" s="69"/>
      <c r="R12" s="76">
        <v>-1.7516249554435301E-2</v>
      </c>
      <c r="S12" s="77">
        <v>-74052.249604329118</v>
      </c>
      <c r="T12" s="77">
        <v>-74052.249604329118</v>
      </c>
      <c r="U12" s="74">
        <v>0</v>
      </c>
      <c r="V12" s="77">
        <v>-74066.694012193242</v>
      </c>
      <c r="W12" s="74">
        <v>14.444407864166692</v>
      </c>
      <c r="X12" s="75"/>
      <c r="Y12" s="75" t="s">
        <v>375</v>
      </c>
    </row>
    <row r="13" spans="1:91" x14ac:dyDescent="0.25">
      <c r="A13" s="78" t="s">
        <v>79</v>
      </c>
      <c r="B13" s="78" t="s">
        <v>344</v>
      </c>
      <c r="C13" s="78">
        <v>30</v>
      </c>
      <c r="D13" s="78" t="s">
        <v>248</v>
      </c>
      <c r="E13" s="79">
        <v>41334</v>
      </c>
      <c r="F13" s="79">
        <v>42185</v>
      </c>
      <c r="G13" s="79">
        <v>49489</v>
      </c>
      <c r="H13" s="78" t="s">
        <v>94</v>
      </c>
      <c r="I13" s="78" t="s">
        <v>86</v>
      </c>
      <c r="J13" s="80">
        <v>4.5600000000000002E-2</v>
      </c>
      <c r="K13" s="78" t="s">
        <v>95</v>
      </c>
      <c r="L13" s="78" t="s">
        <v>371</v>
      </c>
      <c r="M13" s="78" t="s">
        <v>72</v>
      </c>
      <c r="N13" s="81">
        <v>16500000</v>
      </c>
      <c r="O13" s="78" t="s">
        <v>72</v>
      </c>
      <c r="P13" s="81">
        <v>8662500</v>
      </c>
      <c r="Q13" s="78"/>
      <c r="R13" s="82">
        <v>-1.7516249571031935E-2</v>
      </c>
      <c r="S13" s="83">
        <v>-151734.51190906414</v>
      </c>
      <c r="T13" s="83">
        <v>-151734.51190906414</v>
      </c>
      <c r="U13" s="84">
        <v>0</v>
      </c>
      <c r="V13" s="83">
        <v>-151764.10878406418</v>
      </c>
      <c r="W13" s="84">
        <v>29.596874999999955</v>
      </c>
      <c r="X13" s="75"/>
      <c r="Y13" s="75" t="s">
        <v>376</v>
      </c>
    </row>
    <row r="14" spans="1:91" s="68" customFormat="1" ht="12.75" x14ac:dyDescent="0.2">
      <c r="A14" s="61"/>
      <c r="B14" s="61"/>
      <c r="C14" s="61"/>
      <c r="D14" s="61"/>
      <c r="E14" s="62"/>
      <c r="F14" s="62"/>
      <c r="G14" s="62"/>
      <c r="H14" s="61"/>
      <c r="I14" s="61"/>
      <c r="J14" s="63"/>
      <c r="K14" s="61"/>
      <c r="L14" s="61"/>
      <c r="M14" s="61"/>
      <c r="N14" s="64"/>
      <c r="O14" s="61"/>
      <c r="P14" s="64">
        <v>22302631.560000002</v>
      </c>
      <c r="Q14" s="61"/>
      <c r="R14" s="65"/>
      <c r="S14" s="66">
        <v>508427.20955805841</v>
      </c>
      <c r="T14" s="66">
        <v>508427.20955805841</v>
      </c>
      <c r="U14" s="66">
        <v>0</v>
      </c>
      <c r="V14" s="66">
        <v>508383.16827519424</v>
      </c>
      <c r="W14" s="66">
        <v>44.041282864166647</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22302631.560000002</v>
      </c>
      <c r="Q16" s="88"/>
      <c r="R16" s="89"/>
      <c r="S16" s="102">
        <v>508427.20955805841</v>
      </c>
      <c r="T16" s="102">
        <v>508427.20955805841</v>
      </c>
      <c r="U16" s="102">
        <v>0</v>
      </c>
      <c r="V16" s="102">
        <v>508383.16827519424</v>
      </c>
      <c r="W16" s="102">
        <v>44.041282864166647</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T1:W3 S4:U6 V6:W6 T8:W8">
    <cfRule type="cellIs" dxfId="0"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A45-E502-483D-806E-63D7EEAE7B14}">
  <dimension ref="A1:AC8"/>
  <sheetViews>
    <sheetView showGridLines="0" workbookViewId="0">
      <selection activeCell="D23" sqref="D23"/>
    </sheetView>
  </sheetViews>
  <sheetFormatPr baseColWidth="10" defaultColWidth="9.140625" defaultRowHeight="15" x14ac:dyDescent="0.25"/>
  <cols>
    <col min="1" max="1" width="14.710937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42578125" style="93" bestFit="1" customWidth="1"/>
    <col min="12" max="12" width="7.42578125" bestFit="1" customWidth="1"/>
    <col min="13" max="13" width="9.85546875" bestFit="1" customWidth="1"/>
    <col min="14" max="14" width="4" bestFit="1" customWidth="1"/>
    <col min="15" max="15" width="11.7109375" style="93" bestFit="1" customWidth="1"/>
    <col min="16" max="16" width="13.140625" style="93"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8.7109375" style="93" bestFit="1" customWidth="1"/>
    <col min="26" max="26" width="13.28515625" style="93" bestFit="1" customWidth="1"/>
    <col min="27" max="27" width="10.7109375" style="93" bestFit="1" customWidth="1"/>
    <col min="28" max="28" width="1.7109375" customWidth="1"/>
  </cols>
  <sheetData>
    <row r="1" spans="1:29" s="34" customFormat="1" ht="31.9" customHeight="1" x14ac:dyDescent="0.4">
      <c r="A1" s="28" t="s">
        <v>380</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65" t="s">
        <v>264</v>
      </c>
      <c r="B6" s="260" t="s">
        <v>33</v>
      </c>
      <c r="C6" s="260" t="s">
        <v>60</v>
      </c>
      <c r="D6" s="260" t="s">
        <v>61</v>
      </c>
      <c r="E6" s="268" t="s">
        <v>265</v>
      </c>
      <c r="F6" s="268" t="s">
        <v>266</v>
      </c>
      <c r="G6" s="268" t="s">
        <v>267</v>
      </c>
      <c r="H6" s="248" t="s">
        <v>268</v>
      </c>
      <c r="I6" s="254" t="s">
        <v>65</v>
      </c>
      <c r="J6" s="248" t="s">
        <v>269</v>
      </c>
      <c r="K6" s="249"/>
      <c r="L6" s="248" t="s">
        <v>268</v>
      </c>
      <c r="M6" s="254" t="s">
        <v>65</v>
      </c>
      <c r="N6" s="248" t="s">
        <v>270</v>
      </c>
      <c r="O6" s="249"/>
      <c r="P6" s="254" t="s">
        <v>271</v>
      </c>
      <c r="Q6" s="248" t="s">
        <v>66</v>
      </c>
      <c r="R6" s="249"/>
      <c r="S6" s="248" t="s">
        <v>272</v>
      </c>
      <c r="T6" s="249"/>
      <c r="U6" s="244"/>
      <c r="V6" s="257" t="s">
        <v>70</v>
      </c>
      <c r="W6" s="258"/>
      <c r="X6" s="258"/>
      <c r="Y6" s="258"/>
      <c r="Z6" s="258"/>
      <c r="AA6" s="259"/>
      <c r="AC6" s="260" t="s">
        <v>71</v>
      </c>
    </row>
    <row r="7" spans="1:29" s="59" customFormat="1" ht="12.75" x14ac:dyDescent="0.2">
      <c r="A7" s="266"/>
      <c r="B7" s="260"/>
      <c r="C7" s="260"/>
      <c r="D7" s="260"/>
      <c r="E7" s="269"/>
      <c r="F7" s="269"/>
      <c r="G7" s="269"/>
      <c r="H7" s="250"/>
      <c r="I7" s="255"/>
      <c r="J7" s="250"/>
      <c r="K7" s="251"/>
      <c r="L7" s="250"/>
      <c r="M7" s="255"/>
      <c r="N7" s="250"/>
      <c r="O7" s="251"/>
      <c r="P7" s="255"/>
      <c r="Q7" s="250"/>
      <c r="R7" s="251"/>
      <c r="S7" s="250"/>
      <c r="T7" s="251"/>
      <c r="U7" s="244"/>
      <c r="V7" s="261" t="s">
        <v>273</v>
      </c>
      <c r="W7" s="261" t="s">
        <v>274</v>
      </c>
      <c r="X7" s="257" t="s">
        <v>72</v>
      </c>
      <c r="Y7" s="258"/>
      <c r="Z7" s="258"/>
      <c r="AA7" s="259"/>
      <c r="AC7" s="260"/>
    </row>
    <row r="8" spans="1:29" s="59" customFormat="1" ht="12.75" x14ac:dyDescent="0.2">
      <c r="A8" s="267"/>
      <c r="B8" s="260"/>
      <c r="C8" s="260"/>
      <c r="D8" s="260"/>
      <c r="E8" s="270"/>
      <c r="F8" s="270"/>
      <c r="G8" s="270"/>
      <c r="H8" s="252"/>
      <c r="I8" s="256"/>
      <c r="J8" s="252"/>
      <c r="K8" s="253"/>
      <c r="L8" s="252"/>
      <c r="M8" s="256"/>
      <c r="N8" s="252"/>
      <c r="O8" s="253"/>
      <c r="P8" s="256"/>
      <c r="Q8" s="252"/>
      <c r="R8" s="253"/>
      <c r="S8" s="252"/>
      <c r="T8" s="253"/>
      <c r="U8" s="244"/>
      <c r="V8" s="262"/>
      <c r="W8" s="262"/>
      <c r="X8" s="263" t="s">
        <v>275</v>
      </c>
      <c r="Y8" s="264"/>
      <c r="Z8" s="245" t="s">
        <v>74</v>
      </c>
      <c r="AA8" s="245" t="s">
        <v>75</v>
      </c>
      <c r="AC8" s="260"/>
    </row>
  </sheetData>
  <mergeCells count="22">
    <mergeCell ref="M6:M8"/>
    <mergeCell ref="A6:A8"/>
    <mergeCell ref="B6:B8"/>
    <mergeCell ref="C6:C8"/>
    <mergeCell ref="D6:D8"/>
    <mergeCell ref="E6:E8"/>
    <mergeCell ref="F6:F8"/>
    <mergeCell ref="G6:G8"/>
    <mergeCell ref="H6:H8"/>
    <mergeCell ref="I6:I8"/>
    <mergeCell ref="J6:K8"/>
    <mergeCell ref="L6:L8"/>
    <mergeCell ref="AC6:AC8"/>
    <mergeCell ref="V7:V8"/>
    <mergeCell ref="W7:W8"/>
    <mergeCell ref="X7:AA7"/>
    <mergeCell ref="X8:Y8"/>
    <mergeCell ref="N6:O8"/>
    <mergeCell ref="P6:P8"/>
    <mergeCell ref="Q6:R8"/>
    <mergeCell ref="S6:T8"/>
    <mergeCell ref="V6:AA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baseColWidth="10" defaultColWidth="11.42578125"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271" t="s">
        <v>30</v>
      </c>
      <c r="G2" s="272"/>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332</v>
      </c>
    </row>
  </sheetData>
  <mergeCells count="1">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73" t="s">
        <v>55</v>
      </c>
      <c r="B2" s="273"/>
      <c r="C2" s="273"/>
      <c r="D2" s="273"/>
      <c r="E2" s="40"/>
      <c r="F2" s="40"/>
      <c r="G2" s="40"/>
      <c r="H2" s="41"/>
      <c r="I2" s="41"/>
      <c r="J2" s="42"/>
      <c r="K2" s="41"/>
      <c r="L2" s="41"/>
      <c r="N2" s="44"/>
      <c r="P2" s="45"/>
      <c r="R2" s="46"/>
      <c r="S2" s="45"/>
      <c r="T2" s="47"/>
      <c r="U2" s="47"/>
      <c r="V2" s="47"/>
      <c r="W2" s="47"/>
    </row>
    <row r="3" spans="1:25" s="43" customFormat="1" ht="15.75" x14ac:dyDescent="0.25">
      <c r="A3" s="274" t="s">
        <v>56</v>
      </c>
      <c r="B3" s="274"/>
      <c r="C3" s="274"/>
      <c r="D3" s="274"/>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75" t="s">
        <v>57</v>
      </c>
      <c r="W4" s="275"/>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76" t="s">
        <v>58</v>
      </c>
      <c r="W5" s="276"/>
    </row>
    <row r="6" spans="1:25" s="59" customFormat="1" ht="12.75" x14ac:dyDescent="0.2">
      <c r="A6" s="277" t="s">
        <v>59</v>
      </c>
      <c r="B6" s="280" t="s">
        <v>33</v>
      </c>
      <c r="C6" s="277" t="s">
        <v>60</v>
      </c>
      <c r="D6" s="281" t="s">
        <v>61</v>
      </c>
      <c r="E6" s="284" t="s">
        <v>62</v>
      </c>
      <c r="F6" s="284" t="s">
        <v>63</v>
      </c>
      <c r="G6" s="284" t="s">
        <v>64</v>
      </c>
      <c r="H6" s="294" t="s">
        <v>65</v>
      </c>
      <c r="I6" s="295"/>
      <c r="J6" s="300" t="s">
        <v>66</v>
      </c>
      <c r="K6" s="294" t="s">
        <v>67</v>
      </c>
      <c r="L6" s="295"/>
      <c r="M6" s="303" t="s">
        <v>68</v>
      </c>
      <c r="N6" s="304"/>
      <c r="O6" s="309" t="s">
        <v>69</v>
      </c>
      <c r="P6" s="310"/>
      <c r="Q6" s="58"/>
      <c r="R6" s="287" t="s">
        <v>70</v>
      </c>
      <c r="S6" s="287"/>
      <c r="T6" s="287"/>
      <c r="U6" s="287"/>
      <c r="V6" s="287"/>
      <c r="W6" s="288"/>
      <c r="Y6" s="281" t="s">
        <v>71</v>
      </c>
    </row>
    <row r="7" spans="1:25" s="59" customFormat="1" ht="12.75" x14ac:dyDescent="0.2">
      <c r="A7" s="278"/>
      <c r="B7" s="280"/>
      <c r="C7" s="278"/>
      <c r="D7" s="282"/>
      <c r="E7" s="285"/>
      <c r="F7" s="285"/>
      <c r="G7" s="285"/>
      <c r="H7" s="296"/>
      <c r="I7" s="297"/>
      <c r="J7" s="301"/>
      <c r="K7" s="296"/>
      <c r="L7" s="297"/>
      <c r="M7" s="305"/>
      <c r="N7" s="306"/>
      <c r="O7" s="311"/>
      <c r="P7" s="312"/>
      <c r="Q7" s="58"/>
      <c r="R7" s="289" t="s">
        <v>72</v>
      </c>
      <c r="S7" s="290"/>
      <c r="T7" s="290"/>
      <c r="U7" s="290"/>
      <c r="V7" s="290"/>
      <c r="W7" s="291"/>
      <c r="Y7" s="282"/>
    </row>
    <row r="8" spans="1:25" s="59" customFormat="1" ht="12.75" x14ac:dyDescent="0.2">
      <c r="A8" s="279"/>
      <c r="B8" s="280"/>
      <c r="C8" s="279"/>
      <c r="D8" s="283"/>
      <c r="E8" s="286"/>
      <c r="F8" s="286"/>
      <c r="G8" s="286"/>
      <c r="H8" s="298"/>
      <c r="I8" s="299"/>
      <c r="J8" s="302"/>
      <c r="K8" s="298"/>
      <c r="L8" s="299"/>
      <c r="M8" s="307"/>
      <c r="N8" s="308"/>
      <c r="O8" s="313"/>
      <c r="P8" s="314"/>
      <c r="Q8" s="58"/>
      <c r="R8" s="292" t="s">
        <v>73</v>
      </c>
      <c r="S8" s="293"/>
      <c r="T8" s="60" t="s">
        <v>74</v>
      </c>
      <c r="U8" s="60" t="s">
        <v>75</v>
      </c>
      <c r="V8" s="60" t="s">
        <v>76</v>
      </c>
      <c r="W8" s="60" t="s">
        <v>77</v>
      </c>
      <c r="Y8" s="283"/>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10" priority="1" operator="lessThan">
      <formula>0</formula>
    </cfRule>
  </conditionalFormatting>
  <conditionalFormatting sqref="T1:W3 S4:U6 V6:W6 T8:W8">
    <cfRule type="cellIs" dxfId="9"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7"/>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73" t="s">
        <v>55</v>
      </c>
      <c r="B2" s="273"/>
      <c r="C2" s="273"/>
      <c r="D2" s="273"/>
      <c r="E2" s="40"/>
      <c r="F2" s="40"/>
      <c r="G2" s="40"/>
      <c r="H2" s="41"/>
      <c r="I2" s="41"/>
      <c r="J2" s="42"/>
      <c r="K2" s="41"/>
      <c r="L2" s="41"/>
      <c r="N2" s="44"/>
      <c r="P2" s="45"/>
      <c r="R2" s="46"/>
      <c r="S2" s="45"/>
      <c r="T2" s="47"/>
      <c r="U2" s="47"/>
      <c r="V2" s="47"/>
      <c r="W2" s="47"/>
    </row>
    <row r="3" spans="1:25" s="43" customFormat="1" ht="15.75" x14ac:dyDescent="0.25">
      <c r="A3" s="274" t="s">
        <v>56</v>
      </c>
      <c r="B3" s="274"/>
      <c r="C3" s="274"/>
      <c r="D3" s="274"/>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75" t="s">
        <v>57</v>
      </c>
      <c r="W4" s="275"/>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76" t="s">
        <v>58</v>
      </c>
      <c r="W5" s="276"/>
    </row>
    <row r="6" spans="1:25" s="59" customFormat="1" ht="12.75" x14ac:dyDescent="0.2">
      <c r="A6" s="277" t="s">
        <v>59</v>
      </c>
      <c r="B6" s="280" t="s">
        <v>33</v>
      </c>
      <c r="C6" s="277" t="s">
        <v>60</v>
      </c>
      <c r="D6" s="281" t="s">
        <v>61</v>
      </c>
      <c r="E6" s="284" t="s">
        <v>62</v>
      </c>
      <c r="F6" s="284" t="s">
        <v>63</v>
      </c>
      <c r="G6" s="284" t="s">
        <v>64</v>
      </c>
      <c r="H6" s="294" t="s">
        <v>65</v>
      </c>
      <c r="I6" s="295"/>
      <c r="J6" s="300" t="s">
        <v>66</v>
      </c>
      <c r="K6" s="294" t="s">
        <v>67</v>
      </c>
      <c r="L6" s="295"/>
      <c r="M6" s="303" t="s">
        <v>68</v>
      </c>
      <c r="N6" s="304"/>
      <c r="O6" s="309" t="s">
        <v>69</v>
      </c>
      <c r="P6" s="310"/>
      <c r="Q6" s="58"/>
      <c r="R6" s="287" t="s">
        <v>70</v>
      </c>
      <c r="S6" s="287"/>
      <c r="T6" s="287"/>
      <c r="U6" s="287"/>
      <c r="V6" s="287"/>
      <c r="W6" s="288"/>
      <c r="Y6" s="281" t="s">
        <v>71</v>
      </c>
    </row>
    <row r="7" spans="1:25" s="59" customFormat="1" ht="12.75" x14ac:dyDescent="0.2">
      <c r="A7" s="278"/>
      <c r="B7" s="280"/>
      <c r="C7" s="278"/>
      <c r="D7" s="282"/>
      <c r="E7" s="285"/>
      <c r="F7" s="285"/>
      <c r="G7" s="285"/>
      <c r="H7" s="296"/>
      <c r="I7" s="297"/>
      <c r="J7" s="301"/>
      <c r="K7" s="296"/>
      <c r="L7" s="297"/>
      <c r="M7" s="305"/>
      <c r="N7" s="306"/>
      <c r="O7" s="311"/>
      <c r="P7" s="312"/>
      <c r="Q7" s="58"/>
      <c r="R7" s="289" t="s">
        <v>258</v>
      </c>
      <c r="S7" s="290"/>
      <c r="T7" s="290"/>
      <c r="U7" s="290"/>
      <c r="V7" s="290"/>
      <c r="W7" s="291"/>
      <c r="Y7" s="282"/>
    </row>
    <row r="8" spans="1:25" s="59" customFormat="1" ht="12.75" x14ac:dyDescent="0.2">
      <c r="A8" s="279"/>
      <c r="B8" s="280"/>
      <c r="C8" s="279"/>
      <c r="D8" s="283"/>
      <c r="E8" s="286"/>
      <c r="F8" s="286"/>
      <c r="G8" s="286"/>
      <c r="H8" s="298"/>
      <c r="I8" s="299"/>
      <c r="J8" s="302"/>
      <c r="K8" s="298"/>
      <c r="L8" s="299"/>
      <c r="M8" s="307"/>
      <c r="N8" s="308"/>
      <c r="O8" s="313"/>
      <c r="P8" s="314"/>
      <c r="Q8" s="58"/>
      <c r="R8" s="292" t="s">
        <v>73</v>
      </c>
      <c r="S8" s="293"/>
      <c r="T8" s="60" t="s">
        <v>74</v>
      </c>
      <c r="U8" s="60" t="s">
        <v>75</v>
      </c>
      <c r="V8" s="60" t="s">
        <v>76</v>
      </c>
      <c r="W8" s="60" t="s">
        <v>77</v>
      </c>
      <c r="Y8" s="283"/>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316</v>
      </c>
      <c r="V16" s="19">
        <v>1.0869565217391304</v>
      </c>
      <c r="W16"/>
    </row>
    <row r="17" spans="21:22" customFormat="1" x14ac:dyDescent="0.25">
      <c r="U17" t="s">
        <v>317</v>
      </c>
      <c r="V17" s="162">
        <f>V14/V16</f>
        <v>-46365.623467290767</v>
      </c>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8" priority="1" operator="lessThan">
      <formula>0</formula>
    </cfRule>
  </conditionalFormatting>
  <conditionalFormatting sqref="T1:W3 S4:U6 V6:W6 T8:W8">
    <cfRule type="cellIs" dxfId="7" priority="2"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workbookViewId="0"/>
  </sheetViews>
  <sheetFormatPr baseColWidth="10"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77" t="s">
        <v>264</v>
      </c>
      <c r="B6" s="280" t="s">
        <v>33</v>
      </c>
      <c r="C6" s="280" t="s">
        <v>60</v>
      </c>
      <c r="D6" s="280" t="s">
        <v>61</v>
      </c>
      <c r="E6" s="284" t="s">
        <v>265</v>
      </c>
      <c r="F6" s="284" t="s">
        <v>266</v>
      </c>
      <c r="G6" s="284" t="s">
        <v>267</v>
      </c>
      <c r="H6" s="303" t="s">
        <v>268</v>
      </c>
      <c r="I6" s="281" t="s">
        <v>65</v>
      </c>
      <c r="J6" s="303" t="s">
        <v>269</v>
      </c>
      <c r="K6" s="304"/>
      <c r="L6" s="303" t="s">
        <v>268</v>
      </c>
      <c r="M6" s="281" t="s">
        <v>65</v>
      </c>
      <c r="N6" s="303" t="s">
        <v>270</v>
      </c>
      <c r="O6" s="304"/>
      <c r="P6" s="281" t="s">
        <v>271</v>
      </c>
      <c r="Q6" s="303" t="s">
        <v>66</v>
      </c>
      <c r="R6" s="304"/>
      <c r="S6" s="303" t="s">
        <v>272</v>
      </c>
      <c r="T6" s="304"/>
      <c r="U6" s="123"/>
      <c r="V6" s="317" t="s">
        <v>70</v>
      </c>
      <c r="W6" s="287"/>
      <c r="X6" s="287"/>
      <c r="Y6" s="287"/>
      <c r="Z6" s="287"/>
      <c r="AA6" s="288"/>
      <c r="AC6" s="280" t="s">
        <v>71</v>
      </c>
    </row>
    <row r="7" spans="1:29" s="59" customFormat="1" ht="12.75" x14ac:dyDescent="0.2">
      <c r="A7" s="278"/>
      <c r="B7" s="280"/>
      <c r="C7" s="280"/>
      <c r="D7" s="280"/>
      <c r="E7" s="285"/>
      <c r="F7" s="285"/>
      <c r="G7" s="285"/>
      <c r="H7" s="305"/>
      <c r="I7" s="282"/>
      <c r="J7" s="305"/>
      <c r="K7" s="306"/>
      <c r="L7" s="305"/>
      <c r="M7" s="282"/>
      <c r="N7" s="305"/>
      <c r="O7" s="306"/>
      <c r="P7" s="282"/>
      <c r="Q7" s="305"/>
      <c r="R7" s="306"/>
      <c r="S7" s="305"/>
      <c r="T7" s="306"/>
      <c r="U7" s="123"/>
      <c r="V7" s="315" t="s">
        <v>273</v>
      </c>
      <c r="W7" s="315" t="s">
        <v>274</v>
      </c>
      <c r="X7" s="317" t="s">
        <v>72</v>
      </c>
      <c r="Y7" s="287"/>
      <c r="Z7" s="287"/>
      <c r="AA7" s="288"/>
      <c r="AC7" s="280"/>
    </row>
    <row r="8" spans="1:29" s="59" customFormat="1" ht="12.75" x14ac:dyDescent="0.2">
      <c r="A8" s="279"/>
      <c r="B8" s="280"/>
      <c r="C8" s="280"/>
      <c r="D8" s="280"/>
      <c r="E8" s="286"/>
      <c r="F8" s="286"/>
      <c r="G8" s="286"/>
      <c r="H8" s="307"/>
      <c r="I8" s="283"/>
      <c r="J8" s="307"/>
      <c r="K8" s="308"/>
      <c r="L8" s="307"/>
      <c r="M8" s="283"/>
      <c r="N8" s="307"/>
      <c r="O8" s="308"/>
      <c r="P8" s="283"/>
      <c r="Q8" s="307"/>
      <c r="R8" s="308"/>
      <c r="S8" s="307"/>
      <c r="T8" s="308"/>
      <c r="U8" s="123"/>
      <c r="V8" s="316"/>
      <c r="W8" s="316"/>
      <c r="X8" s="318" t="s">
        <v>275</v>
      </c>
      <c r="Y8" s="319"/>
      <c r="Z8" s="124" t="s">
        <v>74</v>
      </c>
      <c r="AA8" s="124" t="s">
        <v>75</v>
      </c>
      <c r="AC8" s="280"/>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sheetData>
  <mergeCells count="22">
    <mergeCell ref="N6:O8"/>
    <mergeCell ref="P6:P8"/>
    <mergeCell ref="Q6:R8"/>
    <mergeCell ref="S6:T8"/>
    <mergeCell ref="V6:AA6"/>
    <mergeCell ref="AC6:AC8"/>
    <mergeCell ref="V7:V8"/>
    <mergeCell ref="W7:W8"/>
    <mergeCell ref="X7:AA7"/>
    <mergeCell ref="X8:Y8"/>
    <mergeCell ref="M6:M8"/>
    <mergeCell ref="A6:A8"/>
    <mergeCell ref="B6:B8"/>
    <mergeCell ref="C6:C8"/>
    <mergeCell ref="D6:D8"/>
    <mergeCell ref="E6:E8"/>
    <mergeCell ref="F6:F8"/>
    <mergeCell ref="G6:G8"/>
    <mergeCell ref="H6:H8"/>
    <mergeCell ref="I6:I8"/>
    <mergeCell ref="J6:K8"/>
    <mergeCell ref="L6:L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5"/>
  <sheetViews>
    <sheetView workbookViewId="0">
      <selection activeCell="P10" sqref="P10"/>
    </sheetView>
  </sheetViews>
  <sheetFormatPr baseColWidth="10" defaultColWidth="11.42578125"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3" width="13.28515625" customWidth="1"/>
    <col min="14" max="14" width="13.85546875" bestFit="1" customWidth="1"/>
    <col min="15" max="15" width="12.7109375" bestFit="1" customWidth="1"/>
    <col min="16" max="16" width="14.7109375" bestFit="1" customWidth="1"/>
    <col min="17" max="17" width="12.7109375" bestFit="1" customWidth="1"/>
  </cols>
  <sheetData>
    <row r="1" spans="1:20" x14ac:dyDescent="0.25">
      <c r="A1" t="s">
        <v>26</v>
      </c>
      <c r="E1" s="2">
        <v>42369</v>
      </c>
      <c r="F1" s="2">
        <v>42735</v>
      </c>
      <c r="G1" s="2">
        <v>43100</v>
      </c>
      <c r="H1" s="2">
        <v>43465</v>
      </c>
      <c r="I1" s="2">
        <v>43830</v>
      </c>
      <c r="J1" s="2">
        <v>44196</v>
      </c>
      <c r="K1" s="2">
        <v>44561</v>
      </c>
      <c r="L1" s="2">
        <v>44926</v>
      </c>
      <c r="M1" s="2">
        <v>45291</v>
      </c>
      <c r="N1" s="2"/>
      <c r="O1" s="2">
        <v>45560</v>
      </c>
      <c r="P1" s="228">
        <v>45657</v>
      </c>
      <c r="Q1" s="2">
        <v>45587</v>
      </c>
      <c r="R1" s="2">
        <v>45589</v>
      </c>
    </row>
    <row r="2" spans="1:20" x14ac:dyDescent="0.25">
      <c r="A2" s="3" t="s">
        <v>27</v>
      </c>
      <c r="B2" s="4" t="s">
        <v>28</v>
      </c>
      <c r="C2" s="5" t="s">
        <v>29</v>
      </c>
      <c r="D2" s="5" t="s">
        <v>29</v>
      </c>
      <c r="E2" s="5" t="s">
        <v>29</v>
      </c>
      <c r="F2" s="271" t="s">
        <v>30</v>
      </c>
      <c r="G2" s="320"/>
      <c r="H2" s="320"/>
      <c r="I2" s="320"/>
      <c r="J2" s="320"/>
      <c r="K2" s="320"/>
      <c r="L2" s="272"/>
      <c r="M2" s="234"/>
      <c r="N2" s="4" t="s">
        <v>31</v>
      </c>
      <c r="O2" s="6" t="s">
        <v>32</v>
      </c>
      <c r="P2" s="5" t="s">
        <v>30</v>
      </c>
      <c r="Q2" s="7" t="s">
        <v>32</v>
      </c>
    </row>
    <row r="3" spans="1:20" x14ac:dyDescent="0.25">
      <c r="A3" s="8" t="s">
        <v>33</v>
      </c>
      <c r="B3" s="9" t="s">
        <v>34</v>
      </c>
      <c r="C3" s="10" t="s">
        <v>35</v>
      </c>
      <c r="D3" s="10" t="s">
        <v>36</v>
      </c>
      <c r="E3" s="10" t="s">
        <v>37</v>
      </c>
      <c r="F3" s="11">
        <v>2016</v>
      </c>
      <c r="G3" s="10">
        <v>2017</v>
      </c>
      <c r="H3" s="10">
        <v>2018</v>
      </c>
      <c r="I3" s="10">
        <v>2019</v>
      </c>
      <c r="J3" s="10">
        <v>2020</v>
      </c>
      <c r="K3" s="10">
        <v>2021</v>
      </c>
      <c r="L3" s="10">
        <v>2022</v>
      </c>
      <c r="M3" s="239">
        <v>2023</v>
      </c>
      <c r="N3" s="9" t="s">
        <v>38</v>
      </c>
      <c r="O3" s="11" t="s">
        <v>39</v>
      </c>
      <c r="P3" s="213">
        <v>45626</v>
      </c>
      <c r="Q3" s="12" t="s">
        <v>40</v>
      </c>
    </row>
    <row r="4" spans="1:20" x14ac:dyDescent="0.25">
      <c r="A4" s="20" t="s">
        <v>43</v>
      </c>
      <c r="B4" s="14">
        <v>1262789.8071999999</v>
      </c>
      <c r="C4" s="21">
        <v>42522</v>
      </c>
      <c r="D4" s="21">
        <v>42524</v>
      </c>
      <c r="E4" s="214">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35">
        <v>0</v>
      </c>
      <c r="N4" s="237">
        <f t="shared" ref="N4:N12" si="5">SUM(F4:M4)</f>
        <v>1262789.8071999999</v>
      </c>
      <c r="O4" s="16"/>
      <c r="P4" s="19"/>
      <c r="Q4" s="17">
        <v>0</v>
      </c>
      <c r="R4" t="b">
        <f t="shared" ref="R4:R12" si="6">+(O4+N4)=B4</f>
        <v>1</v>
      </c>
      <c r="S4" t="b">
        <f t="shared" ref="S4:S12" si="7">+(P4+Q4)=O4</f>
        <v>1</v>
      </c>
    </row>
    <row r="5" spans="1:20" x14ac:dyDescent="0.25">
      <c r="A5" s="20" t="s">
        <v>46</v>
      </c>
      <c r="B5" s="14">
        <v>1425130.6069038401</v>
      </c>
      <c r="C5" s="21">
        <v>42544</v>
      </c>
      <c r="D5" s="21">
        <v>42548</v>
      </c>
      <c r="E5" s="214">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35">
        <v>0</v>
      </c>
      <c r="N5" s="237">
        <f t="shared" si="5"/>
        <v>1425130.6069038401</v>
      </c>
      <c r="O5" s="16"/>
      <c r="P5" s="19"/>
      <c r="Q5" s="17">
        <v>0</v>
      </c>
      <c r="R5" t="b">
        <f t="shared" si="6"/>
        <v>1</v>
      </c>
      <c r="S5" t="b">
        <f t="shared" si="7"/>
        <v>1</v>
      </c>
    </row>
    <row r="6" spans="1:20" x14ac:dyDescent="0.25">
      <c r="A6" s="20" t="s">
        <v>47</v>
      </c>
      <c r="B6" s="14">
        <v>1449900.2282753501</v>
      </c>
      <c r="C6" s="21">
        <v>42544</v>
      </c>
      <c r="D6" s="21">
        <v>42556</v>
      </c>
      <c r="E6" s="214">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35">
        <v>0</v>
      </c>
      <c r="N6" s="237">
        <f t="shared" si="5"/>
        <v>1449900.2282753501</v>
      </c>
      <c r="O6" s="16"/>
      <c r="P6" s="19"/>
      <c r="Q6" s="17">
        <v>0</v>
      </c>
      <c r="R6" t="b">
        <f t="shared" si="6"/>
        <v>1</v>
      </c>
      <c r="S6" t="b">
        <f t="shared" si="7"/>
        <v>1</v>
      </c>
    </row>
    <row r="7" spans="1:20"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8">IF(AND($D7&gt;$K$1,$D7&lt;$L$1),$B7*($L$1-$D7)/($E7-$D7),IF($D7&lt;$K$1,$B7*($L$1-$K$1)/($E7-$D7),"NA"))</f>
        <v>252821.25235188266</v>
      </c>
      <c r="M7" s="235">
        <f>IF(AND($D7&gt;$L$1,$D7&lt;$M$1),$B7*($M$1-$D7)/($E7-$D7),IF($D7&lt;$L$1,$B7*($M$1-$L$1)/($E7-$D7),"NA"))</f>
        <v>252821.25235188266</v>
      </c>
      <c r="N7" s="237">
        <f t="shared" si="5"/>
        <v>1075702.4791848597</v>
      </c>
      <c r="O7" s="16">
        <v>253513.9133172303</v>
      </c>
      <c r="P7" s="19">
        <v>206412.96767359186</v>
      </c>
      <c r="Q7" s="17">
        <v>0</v>
      </c>
      <c r="R7" t="b">
        <f t="shared" si="6"/>
        <v>1</v>
      </c>
      <c r="S7" t="b">
        <f t="shared" si="7"/>
        <v>0</v>
      </c>
    </row>
    <row r="8" spans="1:20" x14ac:dyDescent="0.25">
      <c r="A8" s="20" t="s">
        <v>49</v>
      </c>
      <c r="B8" s="14">
        <v>1827361.9317906599</v>
      </c>
      <c r="C8" s="21">
        <v>42573</v>
      </c>
      <c r="D8" s="21">
        <v>42577</v>
      </c>
      <c r="E8" s="21">
        <v>45133</v>
      </c>
      <c r="F8" s="16">
        <f t="shared" si="0"/>
        <v>112958.99265372625</v>
      </c>
      <c r="G8" s="19">
        <f t="shared" si="1"/>
        <v>260949.57163677263</v>
      </c>
      <c r="H8" s="19">
        <f t="shared" ref="H8:H11" si="9">IF(AND($D8&gt;$G$1,$D8&lt;$H$1),$B8*($H$1-$D8)/($E8-$D8),IF($D8&lt;$G$1,$B8*($H$1-$G$1)/($E8-$D8),"NA"))</f>
        <v>260949.57163677263</v>
      </c>
      <c r="I8" s="19">
        <f t="shared" si="2"/>
        <v>260949.57163677263</v>
      </c>
      <c r="J8" s="19">
        <f t="shared" ref="J8:J12" si="10">IF(AND($D8&gt;$I$1,$D8&lt;$J$1),$B8*($J$1-$D8)/($E8-$D8),IF($D8&lt;$I$1,$B8*($J$1-$I$1)/($E8-$D8),"NA"))</f>
        <v>261664.50197002408</v>
      </c>
      <c r="K8" s="19">
        <f t="shared" si="4"/>
        <v>260949.57163677263</v>
      </c>
      <c r="L8" s="19">
        <f t="shared" si="8"/>
        <v>260949.57163677263</v>
      </c>
      <c r="M8" s="235">
        <f>B8-SUM(F8:L8)</f>
        <v>147990.57898304635</v>
      </c>
      <c r="N8" s="237">
        <f t="shared" si="5"/>
        <v>1827361.9317906599</v>
      </c>
      <c r="O8" s="223">
        <v>0</v>
      </c>
      <c r="P8" s="224">
        <v>0</v>
      </c>
      <c r="Q8" s="225">
        <v>0</v>
      </c>
      <c r="R8" t="b">
        <f t="shared" si="6"/>
        <v>1</v>
      </c>
      <c r="S8" t="b">
        <f t="shared" si="7"/>
        <v>1</v>
      </c>
      <c r="T8" t="s">
        <v>361</v>
      </c>
    </row>
    <row r="9" spans="1:20" x14ac:dyDescent="0.25">
      <c r="A9" s="20" t="s">
        <v>50</v>
      </c>
      <c r="B9" s="14">
        <v>3090219.04165034</v>
      </c>
      <c r="C9" s="21">
        <v>42817</v>
      </c>
      <c r="D9" s="21">
        <v>43102</v>
      </c>
      <c r="E9" s="21">
        <v>46024</v>
      </c>
      <c r="F9" s="16" t="str">
        <f t="shared" si="0"/>
        <v>NA</v>
      </c>
      <c r="G9" s="19" t="str">
        <f t="shared" si="1"/>
        <v>NA</v>
      </c>
      <c r="H9" s="19">
        <f t="shared" si="9"/>
        <v>383897.84809003194</v>
      </c>
      <c r="I9" s="19">
        <f t="shared" si="2"/>
        <v>386012.98774893017</v>
      </c>
      <c r="J9" s="19">
        <f>IF(AND($D9&gt;$I$1,$D9&lt;$J$1),$B9*($J$1-$D9)/($E9-$D9),IF($D9&lt;$I$1,$B9*($J$1-$I$1)/($E9-$D9),"NA"))</f>
        <v>387070.55757837935</v>
      </c>
      <c r="K9" s="19">
        <f t="shared" si="4"/>
        <v>386012.98774893017</v>
      </c>
      <c r="L9" s="19">
        <f t="shared" si="8"/>
        <v>386012.98774893017</v>
      </c>
      <c r="M9" s="235">
        <f>IF(AND($D9&gt;$L$1,$D9&lt;$M$1),$B9*($M$1-$D9)/($E9-$D9),IF($D9&lt;$L$1,$B9*($M$1-$L$1)/($E9-$D9),"NA"))</f>
        <v>386012.98774893017</v>
      </c>
      <c r="N9" s="237">
        <f t="shared" si="5"/>
        <v>2315020.3566641319</v>
      </c>
      <c r="O9" s="16">
        <v>775198.6849862081</v>
      </c>
      <c r="P9" s="19">
        <v>284486.2841218143</v>
      </c>
      <c r="Q9" s="17">
        <v>0</v>
      </c>
      <c r="R9" t="b">
        <f t="shared" si="6"/>
        <v>1</v>
      </c>
      <c r="S9" t="b">
        <f t="shared" si="7"/>
        <v>0</v>
      </c>
      <c r="T9" t="s">
        <v>379</v>
      </c>
    </row>
    <row r="10" spans="1:20" x14ac:dyDescent="0.25">
      <c r="A10" s="20" t="s">
        <v>51</v>
      </c>
      <c r="B10" s="14">
        <v>2195602.8012064099</v>
      </c>
      <c r="C10" s="21">
        <v>42823</v>
      </c>
      <c r="D10" s="21">
        <v>43102</v>
      </c>
      <c r="E10" s="21">
        <v>46024</v>
      </c>
      <c r="F10" s="16" t="str">
        <f t="shared" si="0"/>
        <v>NA</v>
      </c>
      <c r="G10" s="19" t="str">
        <f t="shared" si="1"/>
        <v>NA</v>
      </c>
      <c r="H10" s="19">
        <f t="shared" si="9"/>
        <v>272759.6909096259</v>
      </c>
      <c r="I10" s="19">
        <f t="shared" si="2"/>
        <v>274262.49912400398</v>
      </c>
      <c r="J10" s="19">
        <f t="shared" si="10"/>
        <v>275013.90323119302</v>
      </c>
      <c r="K10" s="19">
        <f t="shared" ref="K10" si="11">IF(AND($D10&gt;$J$1,$D10&lt;$K$1),$B10*($K$1-$D10)/($E10-$D10),IF($D10&lt;$J$1,$B10*($K$1-$J$1)/($E10-$D10),"NA"))</f>
        <v>274262.49912400398</v>
      </c>
      <c r="L10" s="19">
        <f t="shared" si="8"/>
        <v>274262.49912400398</v>
      </c>
      <c r="M10" s="235">
        <f>IF(AND($D10&gt;$L$1,$D10&lt;$M$1),$B10*($M$1-$D10)/($E10-$D10),IF($D10&lt;$L$1,$B10*($M$1-$L$1)/($E10-$D10),"NA"))</f>
        <v>274262.49912400398</v>
      </c>
      <c r="N10" s="237">
        <f t="shared" si="5"/>
        <v>1644823.590636835</v>
      </c>
      <c r="O10" s="16">
        <v>550779.21056957496</v>
      </c>
      <c r="P10" s="19">
        <v>222415.6157279594</v>
      </c>
      <c r="Q10" s="17">
        <v>0</v>
      </c>
      <c r="R10" t="b">
        <f t="shared" si="6"/>
        <v>1</v>
      </c>
      <c r="S10" t="b">
        <f t="shared" si="7"/>
        <v>0</v>
      </c>
    </row>
    <row r="11" spans="1:20" x14ac:dyDescent="0.25">
      <c r="A11" s="20" t="s">
        <v>52</v>
      </c>
      <c r="B11" s="18">
        <v>8040.4976160704846</v>
      </c>
      <c r="C11" s="21">
        <v>41967</v>
      </c>
      <c r="D11" s="21">
        <v>42735</v>
      </c>
      <c r="E11" s="214">
        <v>44926</v>
      </c>
      <c r="F11" s="16" t="str">
        <f t="shared" si="0"/>
        <v>NA</v>
      </c>
      <c r="G11" s="19">
        <v>1339.4713052787429</v>
      </c>
      <c r="H11" s="19">
        <f t="shared" si="9"/>
        <v>1339.4713052787436</v>
      </c>
      <c r="I11" s="19">
        <f t="shared" si="2"/>
        <v>1339.4713052787436</v>
      </c>
      <c r="J11" s="19">
        <f t="shared" si="10"/>
        <v>1343.1410896767673</v>
      </c>
      <c r="K11" s="19">
        <f>IF(AND($D11&gt;$J$1,$D11&lt;$K$1),$B11*($K$1-$D11)/($E11-$D11),IF($D11&lt;$J$1,$B11*($K$1-$J$1)/($E11-$D11),"NA"))</f>
        <v>1339.4713052787436</v>
      </c>
      <c r="L11" s="19">
        <f t="shared" si="8"/>
        <v>1339.4713052787436</v>
      </c>
      <c r="M11" s="235">
        <v>0</v>
      </c>
      <c r="N11" s="237">
        <f t="shared" si="5"/>
        <v>8040.4976160704855</v>
      </c>
      <c r="O11" s="16"/>
      <c r="P11" s="19"/>
      <c r="Q11" s="17">
        <v>0</v>
      </c>
      <c r="R11" t="b">
        <f t="shared" si="6"/>
        <v>0</v>
      </c>
      <c r="S11" t="b">
        <f t="shared" si="7"/>
        <v>1</v>
      </c>
    </row>
    <row r="12" spans="1:20" x14ac:dyDescent="0.25">
      <c r="A12" s="20" t="s">
        <v>53</v>
      </c>
      <c r="B12" s="18">
        <v>9380.5805520822323</v>
      </c>
      <c r="C12" s="21">
        <v>41967</v>
      </c>
      <c r="D12" s="21">
        <v>42735</v>
      </c>
      <c r="E12" s="214">
        <v>44926</v>
      </c>
      <c r="F12" s="16" t="str">
        <f>IF(AND($D12&gt;$E$1,$D12&lt;$F$1),$B12*($F$1-$D12)/($E12-$D12),"NA")</f>
        <v>NA</v>
      </c>
      <c r="G12" s="19">
        <v>1562.7165228252015</v>
      </c>
      <c r="H12" s="19">
        <f>IF(AND($D12&gt;$G$1,$D12&lt;$H$1),$B12*($H$1-$D12)/($E12-$D12),IF($D12&lt;$G$1,$B12*($H$1-$G$1)/($E12-$D12),"NA"))</f>
        <v>1562.7165228252006</v>
      </c>
      <c r="I12" s="19">
        <f t="shared" si="2"/>
        <v>1562.7165228252006</v>
      </c>
      <c r="J12" s="19">
        <f t="shared" si="10"/>
        <v>1566.9979379562287</v>
      </c>
      <c r="K12" s="19">
        <f>IF(AND($D12&gt;$J$1,$D12&lt;$K$1),$B12*($K$1-$D12)/($E12-$D12),IF($D12&lt;$J$1,$B12*($K$1-$J$1)/($E12-$D12),"NA"))</f>
        <v>1562.7165228252006</v>
      </c>
      <c r="L12" s="19">
        <f t="shared" si="8"/>
        <v>1562.7165228252006</v>
      </c>
      <c r="M12" s="235">
        <v>0</v>
      </c>
      <c r="N12" s="237">
        <f t="shared" si="5"/>
        <v>9380.5805520822323</v>
      </c>
      <c r="O12" s="16"/>
      <c r="P12" s="19"/>
      <c r="Q12" s="17">
        <v>0</v>
      </c>
      <c r="R12" t="b">
        <f t="shared" si="6"/>
        <v>1</v>
      </c>
      <c r="S12" t="b">
        <f t="shared" si="7"/>
        <v>1</v>
      </c>
    </row>
    <row r="13" spans="1:20" x14ac:dyDescent="0.25">
      <c r="A13" s="23" t="s">
        <v>31</v>
      </c>
      <c r="B13" s="24">
        <f>SUM(B4:B12)</f>
        <v>12597641.887696844</v>
      </c>
      <c r="C13" s="25"/>
      <c r="D13" s="25"/>
      <c r="E13" s="25"/>
      <c r="F13" s="26">
        <f t="shared" ref="F13:K13" si="12">-SUM(F4:F12)</f>
        <v>-474656.94503688725</v>
      </c>
      <c r="G13" s="26">
        <f t="shared" si="12"/>
        <v>-953173.77428386523</v>
      </c>
      <c r="H13" s="26">
        <f t="shared" si="12"/>
        <v>-1609831.3132835233</v>
      </c>
      <c r="I13" s="26">
        <f t="shared" si="12"/>
        <v>-1677174.069968781</v>
      </c>
      <c r="J13" s="26">
        <f t="shared" si="12"/>
        <v>-1871383.5834087059</v>
      </c>
      <c r="K13" s="26">
        <f t="shared" si="12"/>
        <v>-1866270.5135086824</v>
      </c>
      <c r="L13" s="26">
        <f>-SUM(L4:L12)</f>
        <v>-1504572.5611255213</v>
      </c>
      <c r="M13" s="236">
        <f>-SUM(M4:M12)</f>
        <v>-1061087.3182078633</v>
      </c>
      <c r="N13" s="238">
        <f>SUM(N4:N12)</f>
        <v>11018150.078823829</v>
      </c>
      <c r="O13" s="26">
        <v>1579491.8088730145</v>
      </c>
      <c r="P13" s="246">
        <v>-713314.86752336554</v>
      </c>
      <c r="Q13" s="27">
        <v>866176.94134964899</v>
      </c>
    </row>
    <row r="14" spans="1:20" x14ac:dyDescent="0.25">
      <c r="B14" s="19"/>
    </row>
    <row r="15" spans="1:20" x14ac:dyDescent="0.25">
      <c r="A15" s="164" t="s">
        <v>332</v>
      </c>
    </row>
  </sheetData>
  <mergeCells count="1">
    <mergeCell ref="F2:L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6"/>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73" t="s">
        <v>55</v>
      </c>
      <c r="B2" s="273"/>
      <c r="C2" s="273"/>
      <c r="D2" s="273"/>
      <c r="E2" s="40"/>
      <c r="F2" s="40"/>
      <c r="G2" s="40"/>
      <c r="H2" s="41"/>
      <c r="I2" s="41"/>
      <c r="J2" s="42"/>
      <c r="K2" s="41"/>
      <c r="L2" s="41"/>
      <c r="N2" s="44"/>
      <c r="P2" s="45"/>
      <c r="R2" s="46"/>
      <c r="S2" s="45"/>
      <c r="T2" s="47"/>
      <c r="U2" s="47"/>
      <c r="V2" s="47"/>
      <c r="W2" s="47"/>
    </row>
    <row r="3" spans="1:25" s="43" customFormat="1" ht="15.75" x14ac:dyDescent="0.25">
      <c r="A3" s="274" t="s">
        <v>56</v>
      </c>
      <c r="B3" s="274"/>
      <c r="C3" s="274"/>
      <c r="D3" s="274"/>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75" t="s">
        <v>57</v>
      </c>
      <c r="W4" s="275"/>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76" t="s">
        <v>58</v>
      </c>
      <c r="W5" s="276"/>
    </row>
    <row r="6" spans="1:25" s="59" customFormat="1" ht="12.75" x14ac:dyDescent="0.2">
      <c r="A6" s="277" t="s">
        <v>59</v>
      </c>
      <c r="B6" s="280" t="s">
        <v>33</v>
      </c>
      <c r="C6" s="277" t="s">
        <v>60</v>
      </c>
      <c r="D6" s="281" t="s">
        <v>61</v>
      </c>
      <c r="E6" s="284" t="s">
        <v>62</v>
      </c>
      <c r="F6" s="284" t="s">
        <v>63</v>
      </c>
      <c r="G6" s="284" t="s">
        <v>64</v>
      </c>
      <c r="H6" s="294" t="s">
        <v>65</v>
      </c>
      <c r="I6" s="295"/>
      <c r="J6" s="300" t="s">
        <v>66</v>
      </c>
      <c r="K6" s="294" t="s">
        <v>67</v>
      </c>
      <c r="L6" s="295"/>
      <c r="M6" s="303" t="s">
        <v>68</v>
      </c>
      <c r="N6" s="304"/>
      <c r="O6" s="309" t="s">
        <v>69</v>
      </c>
      <c r="P6" s="310"/>
      <c r="Q6" s="58"/>
      <c r="R6" s="287" t="s">
        <v>70</v>
      </c>
      <c r="S6" s="287"/>
      <c r="T6" s="287"/>
      <c r="U6" s="287"/>
      <c r="V6" s="287"/>
      <c r="W6" s="288"/>
      <c r="Y6" s="281" t="s">
        <v>71</v>
      </c>
    </row>
    <row r="7" spans="1:25" s="59" customFormat="1" ht="12.75" x14ac:dyDescent="0.2">
      <c r="A7" s="278"/>
      <c r="B7" s="280"/>
      <c r="C7" s="278"/>
      <c r="D7" s="282"/>
      <c r="E7" s="285"/>
      <c r="F7" s="285"/>
      <c r="G7" s="285"/>
      <c r="H7" s="296"/>
      <c r="I7" s="297"/>
      <c r="J7" s="301"/>
      <c r="K7" s="296"/>
      <c r="L7" s="297"/>
      <c r="M7" s="305"/>
      <c r="N7" s="306"/>
      <c r="O7" s="311"/>
      <c r="P7" s="312"/>
      <c r="Q7" s="58"/>
      <c r="R7" s="289" t="s">
        <v>72</v>
      </c>
      <c r="S7" s="290"/>
      <c r="T7" s="290"/>
      <c r="U7" s="290"/>
      <c r="V7" s="290"/>
      <c r="W7" s="291"/>
      <c r="Y7" s="282"/>
    </row>
    <row r="8" spans="1:25" s="59" customFormat="1" ht="12.75" x14ac:dyDescent="0.2">
      <c r="A8" s="279"/>
      <c r="B8" s="280"/>
      <c r="C8" s="279"/>
      <c r="D8" s="283"/>
      <c r="E8" s="286"/>
      <c r="F8" s="286"/>
      <c r="G8" s="286"/>
      <c r="H8" s="298"/>
      <c r="I8" s="299"/>
      <c r="J8" s="302"/>
      <c r="K8" s="298"/>
      <c r="L8" s="299"/>
      <c r="M8" s="307"/>
      <c r="N8" s="308"/>
      <c r="O8" s="313"/>
      <c r="P8" s="314"/>
      <c r="Q8" s="58"/>
      <c r="R8" s="292" t="s">
        <v>73</v>
      </c>
      <c r="S8" s="293"/>
      <c r="T8" s="60" t="s">
        <v>74</v>
      </c>
      <c r="U8" s="60" t="s">
        <v>75</v>
      </c>
      <c r="V8" s="60" t="s">
        <v>76</v>
      </c>
      <c r="W8" s="60" t="s">
        <v>77</v>
      </c>
      <c r="Y8" s="283"/>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3"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row>
    <row r="66" spans="1:23"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row>
    <row r="67" spans="1:23"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row>
    <row r="68" spans="1:23"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row>
    <row r="69" spans="1:23"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row>
    <row r="70" spans="1:23"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row>
    <row r="71" spans="1:23"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row>
    <row r="72" spans="1:23"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row>
    <row r="73" spans="1:23"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row>
    <row r="74" spans="1:23"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row>
    <row r="75" spans="1:23"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row>
    <row r="76" spans="1:23"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row>
    <row r="77" spans="1:23"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row>
    <row r="78" spans="1:23"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row>
    <row r="79" spans="1:23"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row>
    <row r="80" spans="1:23"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T1:W3 S4:U6 V6:W6 T8:W8">
    <cfRule type="cellIs" dxfId="6" priority="1"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F119E-62E8-4B23-A026-51864A5ECB33}">
  <dimension ref="A1:Z61"/>
  <sheetViews>
    <sheetView topLeftCell="A41" workbookViewId="0">
      <selection activeCell="K36" sqref="K36"/>
    </sheetView>
  </sheetViews>
  <sheetFormatPr baseColWidth="10" defaultColWidth="9.140625" defaultRowHeight="15" x14ac:dyDescent="0.25"/>
  <cols>
    <col min="1" max="1" width="15.42578125" bestFit="1" customWidth="1"/>
    <col min="2" max="2" width="9.42578125" customWidth="1"/>
    <col min="3" max="3" width="7.42578125" bestFit="1" customWidth="1"/>
    <col min="4" max="4" width="11.425781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140625" style="98" bestFit="1" customWidth="1"/>
    <col min="11" max="11" width="7" style="97" bestFit="1" customWidth="1"/>
    <col min="12" max="12" width="8.7109375" style="97" bestFit="1" customWidth="1"/>
    <col min="13" max="13" width="3.85546875" style="95" bestFit="1" customWidth="1"/>
    <col min="14" max="14" width="12.5703125" style="221" bestFit="1" customWidth="1"/>
    <col min="15" max="15" width="3.85546875" style="95" bestFit="1" customWidth="1"/>
    <col min="16" max="16" width="13.85546875" style="221" bestFit="1" customWidth="1"/>
    <col min="17" max="17" width="1.7109375" customWidth="1"/>
    <col min="18" max="18" width="6.28515625" style="152" bestFit="1" customWidth="1"/>
    <col min="19" max="19" width="11.7109375" style="221" bestFit="1" customWidth="1"/>
    <col min="20" max="20" width="12.42578125" style="221" bestFit="1" customWidth="1"/>
    <col min="21" max="21" width="11.42578125" style="221" bestFit="1" customWidth="1"/>
    <col min="22" max="22" width="11.7109375" style="221" bestFit="1" customWidth="1"/>
    <col min="23" max="23" width="15" style="221" bestFit="1" customWidth="1"/>
    <col min="24" max="24" width="1.7109375" customWidth="1"/>
    <col min="25" max="25" width="75.28515625" bestFit="1" customWidth="1"/>
    <col min="26" max="26" width="12.7109375" style="131" customWidth="1"/>
    <col min="59" max="59" width="6.28515625" bestFit="1" customWidth="1"/>
    <col min="60" max="60" width="7.5703125" bestFit="1" customWidth="1"/>
  </cols>
  <sheetData>
    <row r="1" spans="1:26" s="34" customFormat="1" ht="30" x14ac:dyDescent="0.4">
      <c r="A1" s="28" t="s">
        <v>54</v>
      </c>
      <c r="B1" s="29"/>
      <c r="C1" s="29"/>
      <c r="D1" s="30"/>
      <c r="E1" s="31"/>
      <c r="F1" s="31"/>
      <c r="G1" s="31"/>
      <c r="H1" s="32"/>
      <c r="I1" s="32"/>
      <c r="J1" s="33"/>
      <c r="K1" s="32"/>
      <c r="L1" s="32"/>
      <c r="N1" s="215"/>
      <c r="P1" s="36"/>
      <c r="R1" s="37"/>
      <c r="S1" s="36"/>
      <c r="T1" s="216"/>
      <c r="U1" s="216"/>
      <c r="V1" s="217"/>
      <c r="W1" s="217"/>
      <c r="Z1" s="32"/>
    </row>
    <row r="2" spans="1:26" s="43" customFormat="1" ht="15.75" x14ac:dyDescent="0.25">
      <c r="A2" s="273" t="s">
        <v>364</v>
      </c>
      <c r="B2" s="273"/>
      <c r="C2" s="273"/>
      <c r="D2" s="273"/>
      <c r="E2" s="40"/>
      <c r="F2" s="40"/>
      <c r="G2" s="40"/>
      <c r="H2" s="41"/>
      <c r="I2" s="41"/>
      <c r="J2" s="42"/>
      <c r="K2" s="41"/>
      <c r="L2" s="41"/>
      <c r="N2" s="218"/>
      <c r="P2" s="45"/>
      <c r="R2" s="46"/>
      <c r="S2" s="45"/>
      <c r="T2" s="219"/>
      <c r="U2" s="219"/>
      <c r="V2" s="219"/>
      <c r="W2" s="219"/>
      <c r="Z2" s="41"/>
    </row>
    <row r="3" spans="1:26" s="43" customFormat="1" ht="15.75" x14ac:dyDescent="0.25">
      <c r="A3" s="274" t="s">
        <v>365</v>
      </c>
      <c r="B3" s="274"/>
      <c r="C3" s="274"/>
      <c r="D3" s="274"/>
      <c r="E3" s="40"/>
      <c r="F3" s="40"/>
      <c r="G3" s="40"/>
      <c r="H3" s="41"/>
      <c r="I3" s="41"/>
      <c r="J3" s="42"/>
      <c r="K3" s="41"/>
      <c r="L3" s="41"/>
      <c r="N3" s="218"/>
      <c r="P3" s="45"/>
      <c r="R3" s="46"/>
      <c r="S3" s="45"/>
      <c r="T3" s="219"/>
      <c r="U3" s="219"/>
      <c r="V3" s="219"/>
      <c r="W3" s="219"/>
      <c r="Z3" s="41"/>
    </row>
    <row r="4" spans="1:26" s="43" customFormat="1" ht="15.75" x14ac:dyDescent="0.25">
      <c r="A4" s="48"/>
      <c r="B4" s="48"/>
      <c r="C4" s="48"/>
      <c r="D4" s="49"/>
      <c r="E4" s="50"/>
      <c r="F4" s="51"/>
      <c r="G4" s="51"/>
      <c r="H4" s="52"/>
      <c r="I4" s="52"/>
      <c r="J4" s="53"/>
      <c r="K4" s="52"/>
      <c r="L4" s="52"/>
      <c r="M4" s="54"/>
      <c r="N4" s="218"/>
      <c r="O4" s="54"/>
      <c r="P4" s="218"/>
      <c r="Q4" s="55"/>
      <c r="R4" s="150"/>
      <c r="S4" s="219"/>
      <c r="T4" s="219"/>
      <c r="U4" s="219"/>
      <c r="V4" s="326" t="s">
        <v>57</v>
      </c>
      <c r="W4" s="326"/>
      <c r="Z4" s="41"/>
    </row>
    <row r="5" spans="1:26" s="43" customFormat="1" ht="15.75" x14ac:dyDescent="0.25">
      <c r="A5" s="48"/>
      <c r="B5" s="48"/>
      <c r="C5" s="48"/>
      <c r="D5" s="49"/>
      <c r="E5" s="50"/>
      <c r="F5" s="51"/>
      <c r="G5" s="51"/>
      <c r="H5" s="52"/>
      <c r="I5" s="52"/>
      <c r="J5" s="53"/>
      <c r="K5" s="52"/>
      <c r="L5" s="52"/>
      <c r="M5" s="54"/>
      <c r="N5" s="218"/>
      <c r="O5" s="54"/>
      <c r="P5" s="218"/>
      <c r="Q5" s="55"/>
      <c r="R5" s="151"/>
      <c r="S5" s="219"/>
      <c r="T5" s="219"/>
      <c r="U5" s="219"/>
      <c r="V5" s="327" t="s">
        <v>58</v>
      </c>
      <c r="W5" s="327"/>
      <c r="Z5" s="41"/>
    </row>
    <row r="6" spans="1:26" s="59" customFormat="1" ht="12.75" x14ac:dyDescent="0.2">
      <c r="A6" s="277" t="s">
        <v>59</v>
      </c>
      <c r="B6" s="280" t="s">
        <v>33</v>
      </c>
      <c r="C6" s="277" t="s">
        <v>60</v>
      </c>
      <c r="D6" s="281" t="s">
        <v>61</v>
      </c>
      <c r="E6" s="284" t="s">
        <v>62</v>
      </c>
      <c r="F6" s="284" t="s">
        <v>63</v>
      </c>
      <c r="G6" s="284" t="s">
        <v>64</v>
      </c>
      <c r="H6" s="294" t="s">
        <v>65</v>
      </c>
      <c r="I6" s="295"/>
      <c r="J6" s="300" t="s">
        <v>66</v>
      </c>
      <c r="K6" s="294" t="s">
        <v>67</v>
      </c>
      <c r="L6" s="295"/>
      <c r="M6" s="303" t="s">
        <v>68</v>
      </c>
      <c r="N6" s="304"/>
      <c r="O6" s="309" t="s">
        <v>69</v>
      </c>
      <c r="P6" s="310"/>
      <c r="Q6" s="58"/>
      <c r="R6" s="287" t="s">
        <v>70</v>
      </c>
      <c r="S6" s="287"/>
      <c r="T6" s="287"/>
      <c r="U6" s="287"/>
      <c r="V6" s="287"/>
      <c r="W6" s="288"/>
      <c r="Y6" s="281" t="s">
        <v>71</v>
      </c>
      <c r="Z6" s="277" t="s">
        <v>348</v>
      </c>
    </row>
    <row r="7" spans="1:26" s="59" customFormat="1" ht="12.75" x14ac:dyDescent="0.2">
      <c r="A7" s="278"/>
      <c r="B7" s="280"/>
      <c r="C7" s="278"/>
      <c r="D7" s="282"/>
      <c r="E7" s="285"/>
      <c r="F7" s="285"/>
      <c r="G7" s="285"/>
      <c r="H7" s="296"/>
      <c r="I7" s="297"/>
      <c r="J7" s="301"/>
      <c r="K7" s="296"/>
      <c r="L7" s="297"/>
      <c r="M7" s="305"/>
      <c r="N7" s="306"/>
      <c r="O7" s="311"/>
      <c r="P7" s="312"/>
      <c r="Q7" s="58"/>
      <c r="R7" s="321" t="s">
        <v>72</v>
      </c>
      <c r="S7" s="322"/>
      <c r="T7" s="322"/>
      <c r="U7" s="322"/>
      <c r="V7" s="322"/>
      <c r="W7" s="323"/>
      <c r="Y7" s="282"/>
      <c r="Z7" s="282"/>
    </row>
    <row r="8" spans="1:26" s="59" customFormat="1" ht="12.75" x14ac:dyDescent="0.2">
      <c r="A8" s="279"/>
      <c r="B8" s="280"/>
      <c r="C8" s="279"/>
      <c r="D8" s="283"/>
      <c r="E8" s="286"/>
      <c r="F8" s="286"/>
      <c r="G8" s="286"/>
      <c r="H8" s="298"/>
      <c r="I8" s="299"/>
      <c r="J8" s="302"/>
      <c r="K8" s="298"/>
      <c r="L8" s="299"/>
      <c r="M8" s="307"/>
      <c r="N8" s="308"/>
      <c r="O8" s="313"/>
      <c r="P8" s="314"/>
      <c r="Q8" s="58"/>
      <c r="R8" s="324" t="s">
        <v>73</v>
      </c>
      <c r="S8" s="325"/>
      <c r="T8" s="220" t="s">
        <v>74</v>
      </c>
      <c r="U8" s="220" t="s">
        <v>75</v>
      </c>
      <c r="V8" s="220" t="s">
        <v>76</v>
      </c>
      <c r="W8" s="220" t="s">
        <v>77</v>
      </c>
      <c r="Y8" s="283"/>
      <c r="Z8" s="283"/>
    </row>
    <row r="9" spans="1:26" s="68" customFormat="1" ht="12.75" x14ac:dyDescent="0.2">
      <c r="A9" s="61" t="s">
        <v>78</v>
      </c>
      <c r="B9" s="61"/>
      <c r="C9" s="61"/>
      <c r="D9" s="61"/>
      <c r="E9" s="62"/>
      <c r="F9" s="62"/>
      <c r="G9" s="62"/>
      <c r="H9" s="61"/>
      <c r="I9" s="61"/>
      <c r="J9" s="63"/>
      <c r="K9" s="61"/>
      <c r="L9" s="61"/>
      <c r="M9" s="61"/>
      <c r="N9" s="64"/>
      <c r="O9" s="61"/>
      <c r="P9" s="64"/>
      <c r="Q9" s="61"/>
      <c r="R9" s="65"/>
      <c r="S9" s="66"/>
      <c r="T9" s="66"/>
      <c r="U9" s="66"/>
      <c r="V9" s="66"/>
      <c r="W9" s="66"/>
      <c r="X9" s="67"/>
      <c r="Y9" s="67"/>
    </row>
    <row r="10" spans="1:26" x14ac:dyDescent="0.25">
      <c r="A10" s="69" t="s">
        <v>79</v>
      </c>
      <c r="B10" s="69" t="s">
        <v>48</v>
      </c>
      <c r="C10" s="69">
        <v>327</v>
      </c>
      <c r="D10" s="69" t="s">
        <v>88</v>
      </c>
      <c r="E10" s="70">
        <v>42556</v>
      </c>
      <c r="F10" s="70">
        <v>43738</v>
      </c>
      <c r="G10" s="70">
        <v>45657</v>
      </c>
      <c r="H10" s="69" t="s">
        <v>81</v>
      </c>
      <c r="I10" s="69" t="s">
        <v>82</v>
      </c>
      <c r="J10" s="71">
        <v>5.0000000000000001E-3</v>
      </c>
      <c r="K10" s="69"/>
      <c r="L10" s="69" t="s">
        <v>89</v>
      </c>
      <c r="M10" s="69" t="s">
        <v>72</v>
      </c>
      <c r="N10" s="72">
        <v>45000000</v>
      </c>
      <c r="O10" s="69" t="s">
        <v>72</v>
      </c>
      <c r="P10" s="72">
        <v>45000000</v>
      </c>
      <c r="Q10" s="69"/>
      <c r="R10" s="73">
        <v>2.8917969963303373E-2</v>
      </c>
      <c r="S10" s="74">
        <v>1301308.6483486518</v>
      </c>
      <c r="T10" s="241">
        <v>1301276.9119368186</v>
      </c>
      <c r="U10" s="240">
        <v>31.736411833204329</v>
      </c>
      <c r="V10" s="74">
        <v>1301308.6483486518</v>
      </c>
      <c r="W10" s="243">
        <v>0</v>
      </c>
      <c r="X10" s="75"/>
      <c r="Y10" s="75" t="s">
        <v>90</v>
      </c>
    </row>
    <row r="11" spans="1:26" x14ac:dyDescent="0.25">
      <c r="A11" s="69" t="s">
        <v>79</v>
      </c>
      <c r="B11" s="69" t="s">
        <v>48</v>
      </c>
      <c r="C11" s="69">
        <v>328</v>
      </c>
      <c r="D11" s="69" t="s">
        <v>88</v>
      </c>
      <c r="E11" s="70">
        <v>42556</v>
      </c>
      <c r="F11" s="70">
        <v>43738</v>
      </c>
      <c r="G11" s="70">
        <v>45657</v>
      </c>
      <c r="H11" s="69" t="s">
        <v>85</v>
      </c>
      <c r="I11" s="69" t="s">
        <v>86</v>
      </c>
      <c r="J11" s="71">
        <v>6.2399999999999999E-3</v>
      </c>
      <c r="K11" s="69"/>
      <c r="L11" s="69"/>
      <c r="M11" s="69" t="s">
        <v>72</v>
      </c>
      <c r="N11" s="72">
        <v>45000000</v>
      </c>
      <c r="O11" s="69" t="s">
        <v>72</v>
      </c>
      <c r="P11" s="72">
        <v>45000000</v>
      </c>
      <c r="Q11" s="69"/>
      <c r="R11" s="76">
        <v>-6.2178359604490828E-3</v>
      </c>
      <c r="S11" s="77">
        <v>-279802.61822020874</v>
      </c>
      <c r="T11" s="74">
        <v>0</v>
      </c>
      <c r="U11" s="77">
        <v>-279802.61822020874</v>
      </c>
      <c r="V11" s="242">
        <v>-279022.61822020874</v>
      </c>
      <c r="W11" s="77">
        <v>-780</v>
      </c>
      <c r="X11" s="75"/>
      <c r="Y11" s="75" t="s">
        <v>90</v>
      </c>
    </row>
    <row r="12" spans="1:26" x14ac:dyDescent="0.25">
      <c r="A12" s="69" t="s">
        <v>79</v>
      </c>
      <c r="B12" s="69" t="s">
        <v>50</v>
      </c>
      <c r="C12" s="69">
        <v>358</v>
      </c>
      <c r="D12" s="69" t="s">
        <v>87</v>
      </c>
      <c r="E12" s="70">
        <v>42817</v>
      </c>
      <c r="F12" s="70">
        <v>43102</v>
      </c>
      <c r="G12" s="70">
        <v>46024</v>
      </c>
      <c r="H12" s="69" t="s">
        <v>81</v>
      </c>
      <c r="I12" s="69" t="s">
        <v>82</v>
      </c>
      <c r="J12" s="71">
        <v>5.0000000000000001E-3</v>
      </c>
      <c r="K12" s="69"/>
      <c r="L12" s="69" t="s">
        <v>83</v>
      </c>
      <c r="M12" s="69" t="s">
        <v>72</v>
      </c>
      <c r="N12" s="72">
        <v>100000000</v>
      </c>
      <c r="O12" s="69" t="s">
        <v>72</v>
      </c>
      <c r="P12" s="72">
        <v>100000000</v>
      </c>
      <c r="Q12" s="69"/>
      <c r="R12" s="73">
        <v>5.1865410956791459E-2</v>
      </c>
      <c r="S12" s="74">
        <v>5186541.0956791462</v>
      </c>
      <c r="T12" s="241">
        <v>5099608.3965816246</v>
      </c>
      <c r="U12" s="240">
        <v>86932.699097521603</v>
      </c>
      <c r="V12" s="74">
        <v>4342350.9487895463</v>
      </c>
      <c r="W12" s="243">
        <v>844190.14688959974</v>
      </c>
      <c r="X12" s="75"/>
      <c r="Y12" s="75" t="s">
        <v>84</v>
      </c>
    </row>
    <row r="13" spans="1:26" x14ac:dyDescent="0.25">
      <c r="A13" s="69" t="s">
        <v>79</v>
      </c>
      <c r="B13" s="69" t="s">
        <v>50</v>
      </c>
      <c r="C13" s="69">
        <v>359</v>
      </c>
      <c r="D13" s="69" t="s">
        <v>87</v>
      </c>
      <c r="E13" s="70">
        <v>42817</v>
      </c>
      <c r="F13" s="70">
        <v>43102</v>
      </c>
      <c r="G13" s="70">
        <v>46024</v>
      </c>
      <c r="H13" s="69" t="s">
        <v>85</v>
      </c>
      <c r="I13" s="69" t="s">
        <v>86</v>
      </c>
      <c r="J13" s="71">
        <v>7.43E-3</v>
      </c>
      <c r="K13" s="69"/>
      <c r="L13" s="69"/>
      <c r="M13" s="69" t="s">
        <v>72</v>
      </c>
      <c r="N13" s="72">
        <v>100000000</v>
      </c>
      <c r="O13" s="69" t="s">
        <v>72</v>
      </c>
      <c r="P13" s="72">
        <v>100000000</v>
      </c>
      <c r="Q13" s="69"/>
      <c r="R13" s="76">
        <v>-1.649018925184053E-2</v>
      </c>
      <c r="S13" s="77">
        <v>-1649018.9251840529</v>
      </c>
      <c r="T13" s="74">
        <v>0</v>
      </c>
      <c r="U13" s="77">
        <v>-1649018.9251840529</v>
      </c>
      <c r="V13" s="242">
        <v>-1465332.8140729417</v>
      </c>
      <c r="W13" s="77">
        <v>-183686.11111111107</v>
      </c>
      <c r="X13" s="75"/>
      <c r="Y13" s="75" t="s">
        <v>84</v>
      </c>
    </row>
    <row r="14" spans="1:26" x14ac:dyDescent="0.25">
      <c r="A14" s="69" t="s">
        <v>79</v>
      </c>
      <c r="B14" s="69" t="s">
        <v>51</v>
      </c>
      <c r="C14" s="69">
        <v>360</v>
      </c>
      <c r="D14" s="69" t="s">
        <v>91</v>
      </c>
      <c r="E14" s="70">
        <v>42823</v>
      </c>
      <c r="F14" s="70">
        <v>43102</v>
      </c>
      <c r="G14" s="70">
        <v>46024</v>
      </c>
      <c r="H14" s="69" t="s">
        <v>81</v>
      </c>
      <c r="I14" s="69" t="s">
        <v>82</v>
      </c>
      <c r="J14" s="71">
        <v>5.0000000000000001E-3</v>
      </c>
      <c r="K14" s="69"/>
      <c r="L14" s="69" t="s">
        <v>83</v>
      </c>
      <c r="M14" s="69" t="s">
        <v>72</v>
      </c>
      <c r="N14" s="72">
        <v>70000000</v>
      </c>
      <c r="O14" s="69" t="s">
        <v>72</v>
      </c>
      <c r="P14" s="72">
        <v>70000000</v>
      </c>
      <c r="Q14" s="69"/>
      <c r="R14" s="73">
        <v>5.1865410956791466E-2</v>
      </c>
      <c r="S14" s="74">
        <v>3630578.7669754028</v>
      </c>
      <c r="T14" s="241">
        <v>3569725.877607137</v>
      </c>
      <c r="U14" s="240">
        <v>60852.889368265867</v>
      </c>
      <c r="V14" s="74">
        <v>3039645.6641526828</v>
      </c>
      <c r="W14" s="243">
        <v>590933.10282271984</v>
      </c>
      <c r="X14" s="75"/>
      <c r="Y14" s="75" t="s">
        <v>84</v>
      </c>
    </row>
    <row r="15" spans="1:26" x14ac:dyDescent="0.25">
      <c r="A15" s="78" t="s">
        <v>79</v>
      </c>
      <c r="B15" s="78" t="s">
        <v>51</v>
      </c>
      <c r="C15" s="78">
        <v>361</v>
      </c>
      <c r="D15" s="78" t="s">
        <v>91</v>
      </c>
      <c r="E15" s="79">
        <v>42823</v>
      </c>
      <c r="F15" s="79">
        <v>43102</v>
      </c>
      <c r="G15" s="79">
        <v>46024</v>
      </c>
      <c r="H15" s="78" t="s">
        <v>85</v>
      </c>
      <c r="I15" s="78" t="s">
        <v>86</v>
      </c>
      <c r="J15" s="80">
        <v>7.025E-3</v>
      </c>
      <c r="K15" s="78"/>
      <c r="L15" s="78"/>
      <c r="M15" s="78" t="s">
        <v>72</v>
      </c>
      <c r="N15" s="72">
        <v>70000000</v>
      </c>
      <c r="O15" s="69" t="s">
        <v>72</v>
      </c>
      <c r="P15" s="72">
        <v>70000000</v>
      </c>
      <c r="Q15" s="69"/>
      <c r="R15" s="76">
        <v>-1.5591329676201847E-2</v>
      </c>
      <c r="S15" s="77">
        <v>-1091393.0773341293</v>
      </c>
      <c r="T15" s="74">
        <v>0</v>
      </c>
      <c r="U15" s="77">
        <v>-1091393.0773341293</v>
      </c>
      <c r="V15" s="242">
        <v>-969821.5495563515</v>
      </c>
      <c r="W15" s="77">
        <v>-121571.52777777778</v>
      </c>
      <c r="X15" s="75"/>
      <c r="Y15" s="75" t="s">
        <v>84</v>
      </c>
    </row>
    <row r="16" spans="1:26" x14ac:dyDescent="0.25">
      <c r="A16" s="69"/>
      <c r="B16" s="69"/>
      <c r="C16" s="69"/>
      <c r="D16" s="69"/>
      <c r="E16" s="70"/>
      <c r="F16" s="70"/>
      <c r="G16" s="70"/>
      <c r="H16" s="69"/>
      <c r="I16" s="69"/>
      <c r="J16" s="71"/>
      <c r="K16" s="69"/>
      <c r="L16" s="69"/>
      <c r="M16" s="69"/>
      <c r="N16" s="226" t="s">
        <v>305</v>
      </c>
      <c r="O16" s="87"/>
      <c r="P16" s="87">
        <v>215000000</v>
      </c>
      <c r="Q16" s="87"/>
      <c r="R16" s="87"/>
      <c r="S16" s="102">
        <v>7098213.8902648101</v>
      </c>
      <c r="T16" s="102">
        <v>9970611.1861255802</v>
      </c>
      <c r="U16" s="102">
        <v>-2872397.2958607702</v>
      </c>
      <c r="V16" s="102">
        <v>5969128.2794413799</v>
      </c>
      <c r="W16" s="102">
        <v>1129085.6108234308</v>
      </c>
      <c r="X16" s="75"/>
      <c r="Y16" s="75"/>
    </row>
    <row r="17" spans="1:26" s="68" customFormat="1" x14ac:dyDescent="0.25">
      <c r="A17" s="61" t="s">
        <v>92</v>
      </c>
      <c r="B17" s="61"/>
      <c r="C17" s="61"/>
      <c r="D17" s="61"/>
      <c r="E17" s="62"/>
      <c r="F17" s="62"/>
      <c r="G17" s="62"/>
      <c r="H17" s="61"/>
      <c r="I17" s="61"/>
      <c r="J17" s="63"/>
      <c r="K17" s="61"/>
      <c r="L17" s="61"/>
      <c r="M17" s="61"/>
      <c r="N17" s="64"/>
      <c r="O17" s="61"/>
      <c r="P17" s="64"/>
      <c r="Q17" s="61"/>
      <c r="R17" s="65"/>
      <c r="S17" s="66"/>
      <c r="T17" s="66"/>
      <c r="U17" s="66"/>
      <c r="V17" s="66"/>
      <c r="W17" s="66"/>
      <c r="X17" s="67"/>
      <c r="Y17" s="67"/>
      <c r="Z17" s="137"/>
    </row>
    <row r="18" spans="1:26" x14ac:dyDescent="0.25">
      <c r="A18" s="69" t="s">
        <v>79</v>
      </c>
      <c r="B18" s="69" t="s">
        <v>173</v>
      </c>
      <c r="C18" s="69">
        <v>302</v>
      </c>
      <c r="D18" s="69" t="s">
        <v>98</v>
      </c>
      <c r="E18" s="70">
        <v>42458</v>
      </c>
      <c r="F18" s="70">
        <v>44570</v>
      </c>
      <c r="G18" s="70">
        <v>45300</v>
      </c>
      <c r="H18" s="69" t="s">
        <v>94</v>
      </c>
      <c r="I18" s="69" t="s">
        <v>86</v>
      </c>
      <c r="J18" s="71">
        <v>8.3000000000000001E-3</v>
      </c>
      <c r="K18" s="69" t="s">
        <v>95</v>
      </c>
      <c r="L18" s="69" t="s">
        <v>83</v>
      </c>
      <c r="M18" s="69" t="s">
        <v>72</v>
      </c>
      <c r="N18" s="72">
        <v>125000000</v>
      </c>
      <c r="O18" s="69" t="s">
        <v>72</v>
      </c>
      <c r="P18" s="72">
        <v>125000000</v>
      </c>
      <c r="Q18" s="69"/>
      <c r="R18" s="73">
        <v>8.0200007927536225E-3</v>
      </c>
      <c r="S18" s="74">
        <v>1002500.0990942029</v>
      </c>
      <c r="T18" s="74">
        <v>1002500.0990942029</v>
      </c>
      <c r="U18" s="74">
        <v>0</v>
      </c>
      <c r="V18" s="74">
        <v>107902.8768719809</v>
      </c>
      <c r="W18" s="74">
        <v>894597.22222222202</v>
      </c>
      <c r="X18" s="75"/>
      <c r="Y18" s="75"/>
    </row>
    <row r="19" spans="1:26" x14ac:dyDescent="0.25">
      <c r="A19" s="69" t="s">
        <v>79</v>
      </c>
      <c r="B19" s="69" t="s">
        <v>174</v>
      </c>
      <c r="C19" s="69">
        <v>303</v>
      </c>
      <c r="D19" s="69" t="s">
        <v>91</v>
      </c>
      <c r="E19" s="70">
        <v>42459</v>
      </c>
      <c r="F19" s="70">
        <v>44579</v>
      </c>
      <c r="G19" s="70">
        <v>45309</v>
      </c>
      <c r="H19" s="69" t="s">
        <v>94</v>
      </c>
      <c r="I19" s="69" t="s">
        <v>86</v>
      </c>
      <c r="J19" s="71">
        <v>8.3499999999999998E-3</v>
      </c>
      <c r="K19" s="69" t="s">
        <v>95</v>
      </c>
      <c r="L19" s="69" t="s">
        <v>83</v>
      </c>
      <c r="M19" s="69" t="s">
        <v>72</v>
      </c>
      <c r="N19" s="72">
        <v>65000000</v>
      </c>
      <c r="O19" s="69" t="s">
        <v>72</v>
      </c>
      <c r="P19" s="72">
        <v>65000000</v>
      </c>
      <c r="Q19" s="69"/>
      <c r="R19" s="73">
        <v>8.0070825933810114E-3</v>
      </c>
      <c r="S19" s="74">
        <v>520460.36856976571</v>
      </c>
      <c r="T19" s="74">
        <v>520460.36856976571</v>
      </c>
      <c r="U19" s="74">
        <v>0</v>
      </c>
      <c r="V19" s="74">
        <v>106590.92412532119</v>
      </c>
      <c r="W19" s="74">
        <v>413869.4444444445</v>
      </c>
      <c r="X19" s="75"/>
      <c r="Y19" s="75"/>
    </row>
    <row r="20" spans="1:26" x14ac:dyDescent="0.25">
      <c r="A20" s="69" t="s">
        <v>79</v>
      </c>
      <c r="B20" s="69" t="s">
        <v>175</v>
      </c>
      <c r="C20" s="69">
        <v>304</v>
      </c>
      <c r="D20" s="69" t="s">
        <v>98</v>
      </c>
      <c r="E20" s="70">
        <v>42459</v>
      </c>
      <c r="F20" s="70">
        <v>44577</v>
      </c>
      <c r="G20" s="70">
        <v>45307</v>
      </c>
      <c r="H20" s="69" t="s">
        <v>94</v>
      </c>
      <c r="I20" s="69" t="s">
        <v>86</v>
      </c>
      <c r="J20" s="71">
        <v>8.3000000000000001E-3</v>
      </c>
      <c r="K20" s="69" t="s">
        <v>95</v>
      </c>
      <c r="L20" s="69" t="s">
        <v>83</v>
      </c>
      <c r="M20" s="69" t="s">
        <v>72</v>
      </c>
      <c r="N20" s="72">
        <v>120000000</v>
      </c>
      <c r="O20" s="69" t="s">
        <v>72</v>
      </c>
      <c r="P20" s="72">
        <v>120000000</v>
      </c>
      <c r="Q20" s="69"/>
      <c r="R20" s="73">
        <v>7.9960648216148046E-3</v>
      </c>
      <c r="S20" s="74">
        <v>959527.77859377663</v>
      </c>
      <c r="T20" s="74">
        <v>959527.77859377663</v>
      </c>
      <c r="U20" s="74">
        <v>0</v>
      </c>
      <c r="V20" s="74">
        <v>175777.77859377675</v>
      </c>
      <c r="W20" s="74">
        <v>783749.99999999988</v>
      </c>
      <c r="X20" s="75"/>
      <c r="Y20" s="75"/>
    </row>
    <row r="21" spans="1:26" x14ac:dyDescent="0.25">
      <c r="A21" s="69" t="s">
        <v>79</v>
      </c>
      <c r="B21" s="69" t="s">
        <v>179</v>
      </c>
      <c r="C21" s="69">
        <v>312</v>
      </c>
      <c r="D21" s="69" t="s">
        <v>88</v>
      </c>
      <c r="E21" s="70">
        <v>42500</v>
      </c>
      <c r="F21" s="70">
        <v>44620</v>
      </c>
      <c r="G21" s="70">
        <v>45350</v>
      </c>
      <c r="H21" s="69" t="s">
        <v>94</v>
      </c>
      <c r="I21" s="69" t="s">
        <v>86</v>
      </c>
      <c r="J21" s="71">
        <v>8.0400000000000003E-3</v>
      </c>
      <c r="K21" s="69" t="s">
        <v>95</v>
      </c>
      <c r="L21" s="69" t="s">
        <v>83</v>
      </c>
      <c r="M21" s="69" t="s">
        <v>72</v>
      </c>
      <c r="N21" s="72">
        <v>60000000</v>
      </c>
      <c r="O21" s="69" t="s">
        <v>72</v>
      </c>
      <c r="P21" s="72">
        <v>60000000</v>
      </c>
      <c r="Q21" s="69"/>
      <c r="R21" s="73">
        <v>7.9488631192865099E-3</v>
      </c>
      <c r="S21" s="74">
        <v>476931.78715719061</v>
      </c>
      <c r="T21" s="74">
        <v>476931.78715719061</v>
      </c>
      <c r="U21" s="74">
        <v>0</v>
      </c>
      <c r="V21" s="74">
        <v>309945.12049052393</v>
      </c>
      <c r="W21" s="74">
        <v>166986.66666666669</v>
      </c>
      <c r="X21" s="75"/>
      <c r="Y21" s="75"/>
    </row>
    <row r="22" spans="1:26" x14ac:dyDescent="0.25">
      <c r="A22" s="69" t="s">
        <v>79</v>
      </c>
      <c r="B22" s="69" t="s">
        <v>180</v>
      </c>
      <c r="C22" s="69">
        <v>313</v>
      </c>
      <c r="D22" s="69" t="s">
        <v>98</v>
      </c>
      <c r="E22" s="70">
        <v>42501</v>
      </c>
      <c r="F22" s="70">
        <v>44651</v>
      </c>
      <c r="G22" s="70">
        <v>45379</v>
      </c>
      <c r="H22" s="69" t="s">
        <v>94</v>
      </c>
      <c r="I22" s="69" t="s">
        <v>86</v>
      </c>
      <c r="J22" s="71">
        <v>8.2400000000000008E-3</v>
      </c>
      <c r="K22" s="69" t="s">
        <v>95</v>
      </c>
      <c r="L22" s="69" t="s">
        <v>83</v>
      </c>
      <c r="M22" s="69" t="s">
        <v>72</v>
      </c>
      <c r="N22" s="72">
        <v>100000000</v>
      </c>
      <c r="O22" s="69" t="s">
        <v>72</v>
      </c>
      <c r="P22" s="72">
        <v>100000000</v>
      </c>
      <c r="Q22" s="69"/>
      <c r="R22" s="73">
        <v>7.6780052960906762E-3</v>
      </c>
      <c r="S22" s="74">
        <v>767800.5296090676</v>
      </c>
      <c r="T22" s="74">
        <v>767800.5296090676</v>
      </c>
      <c r="U22" s="74">
        <v>0</v>
      </c>
      <c r="V22" s="74">
        <v>759186.64072017872</v>
      </c>
      <c r="W22" s="74">
        <v>8613.8888888888887</v>
      </c>
      <c r="X22" s="75"/>
      <c r="Y22" s="75"/>
    </row>
    <row r="23" spans="1:26" x14ac:dyDescent="0.25">
      <c r="A23" s="69" t="s">
        <v>79</v>
      </c>
      <c r="B23" s="69" t="s">
        <v>181</v>
      </c>
      <c r="C23" s="69">
        <v>316</v>
      </c>
      <c r="D23" s="69" t="s">
        <v>88</v>
      </c>
      <c r="E23" s="70">
        <v>42522</v>
      </c>
      <c r="F23" s="70">
        <v>44742</v>
      </c>
      <c r="G23" s="70">
        <v>45473</v>
      </c>
      <c r="H23" s="69" t="s">
        <v>94</v>
      </c>
      <c r="I23" s="69" t="s">
        <v>86</v>
      </c>
      <c r="J23" s="71">
        <v>8.8999999999999999E-3</v>
      </c>
      <c r="K23" s="69" t="s">
        <v>95</v>
      </c>
      <c r="L23" s="69" t="s">
        <v>83</v>
      </c>
      <c r="M23" s="69" t="s">
        <v>72</v>
      </c>
      <c r="N23" s="72">
        <v>100000000</v>
      </c>
      <c r="O23" s="69" t="s">
        <v>72</v>
      </c>
      <c r="P23" s="72">
        <v>100000000</v>
      </c>
      <c r="Q23" s="69"/>
      <c r="R23" s="73">
        <v>1.4335369793804564E-2</v>
      </c>
      <c r="S23" s="74">
        <v>1433536.9793804565</v>
      </c>
      <c r="T23" s="74">
        <v>1433536.9793804565</v>
      </c>
      <c r="U23" s="74">
        <v>0</v>
      </c>
      <c r="V23" s="74">
        <v>1425106.423824901</v>
      </c>
      <c r="W23" s="74">
        <v>8430.5555555555547</v>
      </c>
      <c r="X23" s="75"/>
      <c r="Y23" s="75"/>
    </row>
    <row r="24" spans="1:26" x14ac:dyDescent="0.25">
      <c r="A24" s="69" t="s">
        <v>79</v>
      </c>
      <c r="B24" s="69" t="s">
        <v>182</v>
      </c>
      <c r="C24" s="69">
        <v>317</v>
      </c>
      <c r="D24" s="69" t="s">
        <v>88</v>
      </c>
      <c r="E24" s="70">
        <v>42531</v>
      </c>
      <c r="F24" s="70">
        <v>44934</v>
      </c>
      <c r="G24" s="70">
        <v>45665</v>
      </c>
      <c r="H24" s="69" t="s">
        <v>94</v>
      </c>
      <c r="I24" s="69" t="s">
        <v>86</v>
      </c>
      <c r="J24" s="71">
        <v>9.3699999999999999E-3</v>
      </c>
      <c r="K24" s="69" t="s">
        <v>95</v>
      </c>
      <c r="L24" s="69" t="s">
        <v>83</v>
      </c>
      <c r="M24" s="69" t="s">
        <v>72</v>
      </c>
      <c r="N24" s="72">
        <v>75000000</v>
      </c>
      <c r="O24" s="69" t="s">
        <v>72</v>
      </c>
      <c r="P24" s="72">
        <v>75000000</v>
      </c>
      <c r="Q24" s="69"/>
      <c r="R24" s="73">
        <v>3.0537414829976017E-2</v>
      </c>
      <c r="S24" s="74">
        <v>2290306.1122482014</v>
      </c>
      <c r="T24" s="74">
        <v>2290306.1122482014</v>
      </c>
      <c r="U24" s="74">
        <v>0</v>
      </c>
      <c r="V24" s="74">
        <v>1771826.9455815346</v>
      </c>
      <c r="W24" s="74">
        <v>518479.16666666657</v>
      </c>
      <c r="X24" s="75"/>
      <c r="Y24" s="75"/>
    </row>
    <row r="25" spans="1:26" x14ac:dyDescent="0.25">
      <c r="A25" s="69" t="s">
        <v>79</v>
      </c>
      <c r="B25" s="69" t="s">
        <v>183</v>
      </c>
      <c r="C25" s="69">
        <v>318</v>
      </c>
      <c r="D25" s="69" t="s">
        <v>91</v>
      </c>
      <c r="E25" s="70">
        <v>42538</v>
      </c>
      <c r="F25" s="70">
        <v>44196</v>
      </c>
      <c r="G25" s="70">
        <v>45657</v>
      </c>
      <c r="H25" s="69" t="s">
        <v>94</v>
      </c>
      <c r="I25" s="69" t="s">
        <v>86</v>
      </c>
      <c r="J25" s="71">
        <v>6.5750000000000001E-3</v>
      </c>
      <c r="K25" s="69" t="s">
        <v>95</v>
      </c>
      <c r="L25" s="69" t="s">
        <v>83</v>
      </c>
      <c r="M25" s="69" t="s">
        <v>72</v>
      </c>
      <c r="N25" s="72">
        <v>100000000</v>
      </c>
      <c r="O25" s="69" t="s">
        <v>72</v>
      </c>
      <c r="P25" s="72">
        <v>100000000</v>
      </c>
      <c r="Q25" s="69"/>
      <c r="R25" s="73">
        <v>2.6160261756405605E-2</v>
      </c>
      <c r="S25" s="74">
        <v>2616026.1756405607</v>
      </c>
      <c r="T25" s="74">
        <v>2616026.1756405607</v>
      </c>
      <c r="U25" s="74">
        <v>0</v>
      </c>
      <c r="V25" s="74">
        <v>2606949.7867516717</v>
      </c>
      <c r="W25" s="74">
        <v>9076.3888888888887</v>
      </c>
      <c r="X25" s="75"/>
      <c r="Y25" s="75"/>
    </row>
    <row r="26" spans="1:26" x14ac:dyDescent="0.25">
      <c r="A26" s="69" t="s">
        <v>79</v>
      </c>
      <c r="B26" s="69" t="s">
        <v>184</v>
      </c>
      <c r="C26" s="69">
        <v>329</v>
      </c>
      <c r="D26" s="69" t="s">
        <v>91</v>
      </c>
      <c r="E26" s="70">
        <v>42556</v>
      </c>
      <c r="F26" s="70">
        <v>44176</v>
      </c>
      <c r="G26" s="70">
        <v>45657</v>
      </c>
      <c r="H26" s="69" t="s">
        <v>94</v>
      </c>
      <c r="I26" s="69" t="s">
        <v>86</v>
      </c>
      <c r="J26" s="71">
        <v>5.4000000000000003E-3</v>
      </c>
      <c r="K26" s="69" t="s">
        <v>95</v>
      </c>
      <c r="L26" s="69" t="s">
        <v>89</v>
      </c>
      <c r="M26" s="69" t="s">
        <v>72</v>
      </c>
      <c r="N26" s="72">
        <v>50000000</v>
      </c>
      <c r="O26" s="69" t="s">
        <v>72</v>
      </c>
      <c r="P26" s="72">
        <v>50000000</v>
      </c>
      <c r="Q26" s="69"/>
      <c r="R26" s="73">
        <v>2.8518685481473162E-2</v>
      </c>
      <c r="S26" s="74">
        <v>1425934.274073658</v>
      </c>
      <c r="T26" s="74">
        <v>1425934.274073658</v>
      </c>
      <c r="U26" s="74">
        <v>0</v>
      </c>
      <c r="V26" s="74">
        <v>1421288.4407403248</v>
      </c>
      <c r="W26" s="74">
        <v>4645.8333333333321</v>
      </c>
      <c r="X26" s="75"/>
      <c r="Y26" s="75" t="s">
        <v>185</v>
      </c>
    </row>
    <row r="27" spans="1:26" x14ac:dyDescent="0.25">
      <c r="A27" s="69" t="s">
        <v>79</v>
      </c>
      <c r="B27" s="69" t="s">
        <v>192</v>
      </c>
      <c r="C27" s="69">
        <v>338</v>
      </c>
      <c r="D27" s="69" t="s">
        <v>98</v>
      </c>
      <c r="E27" s="70">
        <v>42662</v>
      </c>
      <c r="F27" s="70">
        <v>44900</v>
      </c>
      <c r="G27" s="70">
        <v>45630</v>
      </c>
      <c r="H27" s="69" t="s">
        <v>94</v>
      </c>
      <c r="I27" s="69" t="s">
        <v>86</v>
      </c>
      <c r="J27" s="71">
        <v>7.0000000000000001E-3</v>
      </c>
      <c r="K27" s="69" t="s">
        <v>95</v>
      </c>
      <c r="L27" s="69" t="s">
        <v>83</v>
      </c>
      <c r="M27" s="69" t="s">
        <v>72</v>
      </c>
      <c r="N27" s="72">
        <v>50000000</v>
      </c>
      <c r="O27" s="69" t="s">
        <v>72</v>
      </c>
      <c r="P27" s="72">
        <v>50000000</v>
      </c>
      <c r="Q27" s="69"/>
      <c r="R27" s="73">
        <v>2.6802988578476739E-2</v>
      </c>
      <c r="S27" s="74">
        <v>1340149.4289238369</v>
      </c>
      <c r="T27" s="74">
        <v>1340149.4289238369</v>
      </c>
      <c r="U27" s="74">
        <v>0</v>
      </c>
      <c r="V27" s="74">
        <v>1222282.7622571704</v>
      </c>
      <c r="W27" s="74">
        <v>117866.66666666667</v>
      </c>
      <c r="X27" s="75"/>
      <c r="Y27" s="75" t="s">
        <v>193</v>
      </c>
    </row>
    <row r="28" spans="1:26" x14ac:dyDescent="0.25">
      <c r="A28" s="69" t="s">
        <v>79</v>
      </c>
      <c r="B28" s="69" t="s">
        <v>194</v>
      </c>
      <c r="C28" s="69">
        <v>339</v>
      </c>
      <c r="D28" s="69" t="s">
        <v>88</v>
      </c>
      <c r="E28" s="70">
        <v>42667</v>
      </c>
      <c r="F28" s="70">
        <v>44955</v>
      </c>
      <c r="G28" s="70">
        <v>45686</v>
      </c>
      <c r="H28" s="69" t="s">
        <v>94</v>
      </c>
      <c r="I28" s="69" t="s">
        <v>86</v>
      </c>
      <c r="J28" s="71">
        <v>7.0000000000000001E-3</v>
      </c>
      <c r="K28" s="69" t="s">
        <v>95</v>
      </c>
      <c r="L28" s="69" t="s">
        <v>83</v>
      </c>
      <c r="M28" s="69" t="s">
        <v>72</v>
      </c>
      <c r="N28" s="72">
        <v>50000000</v>
      </c>
      <c r="O28" s="69" t="s">
        <v>72</v>
      </c>
      <c r="P28" s="72">
        <v>50000000</v>
      </c>
      <c r="Q28" s="69"/>
      <c r="R28" s="73">
        <v>3.2452497158093487E-2</v>
      </c>
      <c r="S28" s="74">
        <v>1622624.8579046745</v>
      </c>
      <c r="T28" s="74">
        <v>1622624.8579046745</v>
      </c>
      <c r="U28" s="74">
        <v>0</v>
      </c>
      <c r="V28" s="74">
        <v>1347108.1912380077</v>
      </c>
      <c r="W28" s="74">
        <v>275516.66666666669</v>
      </c>
      <c r="X28" s="75"/>
      <c r="Y28" s="75" t="s">
        <v>193</v>
      </c>
    </row>
    <row r="29" spans="1:26" x14ac:dyDescent="0.25">
      <c r="A29" s="69" t="s">
        <v>79</v>
      </c>
      <c r="B29" s="69" t="s">
        <v>195</v>
      </c>
      <c r="C29" s="69">
        <v>340</v>
      </c>
      <c r="D29" s="69" t="s">
        <v>91</v>
      </c>
      <c r="E29" s="70">
        <v>42667</v>
      </c>
      <c r="F29" s="70">
        <v>44972</v>
      </c>
      <c r="G29" s="70">
        <v>45703</v>
      </c>
      <c r="H29" s="69" t="s">
        <v>94</v>
      </c>
      <c r="I29" s="69" t="s">
        <v>86</v>
      </c>
      <c r="J29" s="71">
        <v>7.0000000000000001E-3</v>
      </c>
      <c r="K29" s="69" t="s">
        <v>95</v>
      </c>
      <c r="L29" s="69" t="s">
        <v>83</v>
      </c>
      <c r="M29" s="69" t="s">
        <v>72</v>
      </c>
      <c r="N29" s="72">
        <v>70000000</v>
      </c>
      <c r="O29" s="69" t="s">
        <v>72</v>
      </c>
      <c r="P29" s="72">
        <v>70000000</v>
      </c>
      <c r="Q29" s="69"/>
      <c r="R29" s="73">
        <v>3.1844239836976804E-2</v>
      </c>
      <c r="S29" s="74">
        <v>2229096.7885883763</v>
      </c>
      <c r="T29" s="74">
        <v>2229096.7885883763</v>
      </c>
      <c r="U29" s="74">
        <v>0</v>
      </c>
      <c r="V29" s="74">
        <v>1940171.7885883763</v>
      </c>
      <c r="W29" s="74">
        <v>288925</v>
      </c>
      <c r="X29" s="75"/>
      <c r="Y29" s="75" t="s">
        <v>193</v>
      </c>
    </row>
    <row r="30" spans="1:26" x14ac:dyDescent="0.25">
      <c r="A30" s="69" t="s">
        <v>79</v>
      </c>
      <c r="B30" s="69" t="s">
        <v>196</v>
      </c>
      <c r="C30" s="69">
        <v>341</v>
      </c>
      <c r="D30" s="69" t="s">
        <v>98</v>
      </c>
      <c r="E30" s="70">
        <v>42697</v>
      </c>
      <c r="F30" s="70">
        <v>45027</v>
      </c>
      <c r="G30" s="70">
        <v>45756</v>
      </c>
      <c r="H30" s="69" t="s">
        <v>94</v>
      </c>
      <c r="I30" s="69" t="s">
        <v>86</v>
      </c>
      <c r="J30" s="71">
        <v>1.123E-2</v>
      </c>
      <c r="K30" s="69" t="s">
        <v>95</v>
      </c>
      <c r="L30" s="69" t="s">
        <v>83</v>
      </c>
      <c r="M30" s="69" t="s">
        <v>72</v>
      </c>
      <c r="N30" s="72">
        <v>100000000</v>
      </c>
      <c r="O30" s="69" t="s">
        <v>72</v>
      </c>
      <c r="P30" s="72">
        <v>100000000</v>
      </c>
      <c r="Q30" s="69"/>
      <c r="R30" s="73">
        <v>3.0910438140939515E-2</v>
      </c>
      <c r="S30" s="74">
        <v>3091043.8140939516</v>
      </c>
      <c r="T30" s="74">
        <v>3091043.8140939516</v>
      </c>
      <c r="U30" s="74">
        <v>0</v>
      </c>
      <c r="V30" s="74">
        <v>2442104.9252050626</v>
      </c>
      <c r="W30" s="74">
        <v>648938.88888888888</v>
      </c>
      <c r="X30" s="75"/>
      <c r="Y30" s="75" t="s">
        <v>197</v>
      </c>
    </row>
    <row r="31" spans="1:26" x14ac:dyDescent="0.25">
      <c r="A31" s="69" t="s">
        <v>79</v>
      </c>
      <c r="B31" s="69" t="s">
        <v>198</v>
      </c>
      <c r="C31" s="69">
        <v>342</v>
      </c>
      <c r="D31" s="69" t="s">
        <v>91</v>
      </c>
      <c r="E31" s="70">
        <v>42706</v>
      </c>
      <c r="F31" s="70">
        <v>45027</v>
      </c>
      <c r="G31" s="70">
        <v>45756</v>
      </c>
      <c r="H31" s="69" t="s">
        <v>94</v>
      </c>
      <c r="I31" s="69" t="s">
        <v>86</v>
      </c>
      <c r="J31" s="71">
        <v>1.2975E-2</v>
      </c>
      <c r="K31" s="69" t="s">
        <v>95</v>
      </c>
      <c r="L31" s="69" t="s">
        <v>83</v>
      </c>
      <c r="M31" s="69" t="s">
        <v>72</v>
      </c>
      <c r="N31" s="72">
        <v>75000000</v>
      </c>
      <c r="O31" s="69" t="s">
        <v>72</v>
      </c>
      <c r="P31" s="72">
        <v>75000000</v>
      </c>
      <c r="Q31" s="69"/>
      <c r="R31" s="73">
        <v>2.8310657971817751E-2</v>
      </c>
      <c r="S31" s="74">
        <v>2123299.3478863314</v>
      </c>
      <c r="T31" s="74">
        <v>2123299.3478863314</v>
      </c>
      <c r="U31" s="74">
        <v>0</v>
      </c>
      <c r="V31" s="74">
        <v>1666405.5978863316</v>
      </c>
      <c r="W31" s="74">
        <v>456893.74999999988</v>
      </c>
      <c r="X31" s="75"/>
      <c r="Y31" s="75" t="s">
        <v>199</v>
      </c>
    </row>
    <row r="32" spans="1:26" x14ac:dyDescent="0.25">
      <c r="A32" s="69" t="s">
        <v>79</v>
      </c>
      <c r="B32" s="69" t="s">
        <v>200</v>
      </c>
      <c r="C32" s="69">
        <v>343</v>
      </c>
      <c r="D32" s="69" t="s">
        <v>98</v>
      </c>
      <c r="E32" s="70">
        <v>42706</v>
      </c>
      <c r="F32" s="70">
        <v>45032</v>
      </c>
      <c r="G32" s="70">
        <v>45763</v>
      </c>
      <c r="H32" s="69" t="s">
        <v>94</v>
      </c>
      <c r="I32" s="69" t="s">
        <v>86</v>
      </c>
      <c r="J32" s="71">
        <v>1.2749999999999999E-2</v>
      </c>
      <c r="K32" s="69" t="s">
        <v>95</v>
      </c>
      <c r="L32" s="69" t="s">
        <v>83</v>
      </c>
      <c r="M32" s="69" t="s">
        <v>72</v>
      </c>
      <c r="N32" s="72">
        <v>100000000</v>
      </c>
      <c r="O32" s="69" t="s">
        <v>72</v>
      </c>
      <c r="P32" s="72">
        <v>100000000</v>
      </c>
      <c r="Q32" s="69"/>
      <c r="R32" s="73">
        <v>2.8257125102572427E-2</v>
      </c>
      <c r="S32" s="74">
        <v>2825712.5102572427</v>
      </c>
      <c r="T32" s="74">
        <v>2825712.5102572427</v>
      </c>
      <c r="U32" s="74">
        <v>0</v>
      </c>
      <c r="V32" s="74">
        <v>2265295.8435905762</v>
      </c>
      <c r="W32" s="74">
        <v>560416.66666666651</v>
      </c>
      <c r="X32" s="75"/>
      <c r="Y32" s="75" t="s">
        <v>201</v>
      </c>
    </row>
    <row r="33" spans="1:25" x14ac:dyDescent="0.25">
      <c r="A33" s="69" t="s">
        <v>79</v>
      </c>
      <c r="B33" s="69" t="s">
        <v>202</v>
      </c>
      <c r="C33" s="69">
        <v>344</v>
      </c>
      <c r="D33" s="69" t="s">
        <v>91</v>
      </c>
      <c r="E33" s="70">
        <v>42706</v>
      </c>
      <c r="F33" s="70">
        <v>45133</v>
      </c>
      <c r="G33" s="70">
        <v>45864</v>
      </c>
      <c r="H33" s="69" t="s">
        <v>94</v>
      </c>
      <c r="I33" s="69" t="s">
        <v>86</v>
      </c>
      <c r="J33" s="71">
        <v>1.3675E-2</v>
      </c>
      <c r="K33" s="69" t="s">
        <v>95</v>
      </c>
      <c r="L33" s="69" t="s">
        <v>83</v>
      </c>
      <c r="M33" s="69" t="s">
        <v>72</v>
      </c>
      <c r="N33" s="72">
        <v>100000000</v>
      </c>
      <c r="O33" s="69" t="s">
        <v>72</v>
      </c>
      <c r="P33" s="72">
        <v>100000000</v>
      </c>
      <c r="Q33" s="69"/>
      <c r="R33" s="73">
        <v>2.7787292735641369E-2</v>
      </c>
      <c r="S33" s="74">
        <v>2778729.2735641371</v>
      </c>
      <c r="T33" s="74">
        <v>2778729.2735641371</v>
      </c>
      <c r="U33" s="74">
        <v>0</v>
      </c>
      <c r="V33" s="74">
        <v>2314069.551341915</v>
      </c>
      <c r="W33" s="74">
        <v>464659.72222222225</v>
      </c>
      <c r="X33" s="75"/>
      <c r="Y33" s="75" t="s">
        <v>203</v>
      </c>
    </row>
    <row r="34" spans="1:25" x14ac:dyDescent="0.25">
      <c r="A34" s="69" t="s">
        <v>79</v>
      </c>
      <c r="B34" s="69" t="s">
        <v>204</v>
      </c>
      <c r="C34" s="69">
        <v>345</v>
      </c>
      <c r="D34" s="69" t="s">
        <v>91</v>
      </c>
      <c r="E34" s="70">
        <v>42706</v>
      </c>
      <c r="F34" s="70">
        <v>45250</v>
      </c>
      <c r="G34" s="70">
        <v>45981</v>
      </c>
      <c r="H34" s="69" t="s">
        <v>94</v>
      </c>
      <c r="I34" s="69" t="s">
        <v>86</v>
      </c>
      <c r="J34" s="71">
        <v>1.44E-2</v>
      </c>
      <c r="K34" s="69" t="s">
        <v>95</v>
      </c>
      <c r="L34" s="69" t="s">
        <v>83</v>
      </c>
      <c r="M34" s="69" t="s">
        <v>72</v>
      </c>
      <c r="N34" s="72">
        <v>60000000</v>
      </c>
      <c r="O34" s="69" t="s">
        <v>72</v>
      </c>
      <c r="P34" s="72">
        <v>60000000</v>
      </c>
      <c r="Q34" s="69"/>
      <c r="R34" s="73">
        <v>2.635759480339861E-2</v>
      </c>
      <c r="S34" s="74">
        <v>1581455.6882039167</v>
      </c>
      <c r="T34" s="74">
        <v>1581455.6882039167</v>
      </c>
      <c r="U34" s="74">
        <v>0</v>
      </c>
      <c r="V34" s="74">
        <v>1410655.6882039167</v>
      </c>
      <c r="W34" s="74">
        <v>170800.00000000003</v>
      </c>
      <c r="X34" s="75"/>
      <c r="Y34" s="75" t="s">
        <v>205</v>
      </c>
    </row>
    <row r="35" spans="1:25" x14ac:dyDescent="0.25">
      <c r="A35" s="69" t="s">
        <v>79</v>
      </c>
      <c r="B35" s="69" t="s">
        <v>208</v>
      </c>
      <c r="C35" s="69">
        <v>347</v>
      </c>
      <c r="D35" s="69" t="s">
        <v>87</v>
      </c>
      <c r="E35" s="70">
        <v>42718</v>
      </c>
      <c r="F35" s="70">
        <v>42737</v>
      </c>
      <c r="G35" s="70">
        <v>45293</v>
      </c>
      <c r="H35" s="69" t="s">
        <v>94</v>
      </c>
      <c r="I35" s="69" t="s">
        <v>86</v>
      </c>
      <c r="J35" s="71">
        <v>2.7000000000000001E-3</v>
      </c>
      <c r="K35" s="69" t="s">
        <v>95</v>
      </c>
      <c r="L35" s="69" t="s">
        <v>83</v>
      </c>
      <c r="M35" s="69" t="s">
        <v>72</v>
      </c>
      <c r="N35" s="72">
        <v>50000000</v>
      </c>
      <c r="O35" s="69" t="s">
        <v>72</v>
      </c>
      <c r="P35" s="72">
        <v>50000000</v>
      </c>
      <c r="Q35" s="69"/>
      <c r="R35" s="73">
        <v>9.4131477305128292E-3</v>
      </c>
      <c r="S35" s="74">
        <v>470657.38652564143</v>
      </c>
      <c r="T35" s="74">
        <v>470657.38652564143</v>
      </c>
      <c r="U35" s="74">
        <v>0</v>
      </c>
      <c r="V35" s="74">
        <v>15150.442081197005</v>
      </c>
      <c r="W35" s="74">
        <v>455506.94444444444</v>
      </c>
      <c r="X35" s="75"/>
      <c r="Y35" s="75" t="s">
        <v>209</v>
      </c>
    </row>
    <row r="36" spans="1:25" x14ac:dyDescent="0.25">
      <c r="A36" s="69" t="s">
        <v>79</v>
      </c>
      <c r="B36" s="69" t="s">
        <v>210</v>
      </c>
      <c r="C36" s="69">
        <v>348</v>
      </c>
      <c r="D36" s="69" t="s">
        <v>87</v>
      </c>
      <c r="E36" s="70">
        <v>42724</v>
      </c>
      <c r="F36" s="70">
        <v>42737</v>
      </c>
      <c r="G36" s="70">
        <v>45293</v>
      </c>
      <c r="H36" s="69" t="s">
        <v>94</v>
      </c>
      <c r="I36" s="69" t="s">
        <v>86</v>
      </c>
      <c r="J36" s="71">
        <v>2.6749999999999999E-3</v>
      </c>
      <c r="K36" s="69" t="s">
        <v>95</v>
      </c>
      <c r="L36" s="69" t="s">
        <v>83</v>
      </c>
      <c r="M36" s="69" t="s">
        <v>72</v>
      </c>
      <c r="N36" s="72">
        <v>50000000</v>
      </c>
      <c r="O36" s="69" t="s">
        <v>72</v>
      </c>
      <c r="P36" s="72">
        <v>50000000</v>
      </c>
      <c r="Q36" s="69"/>
      <c r="R36" s="73">
        <v>9.4195338551603964E-3</v>
      </c>
      <c r="S36" s="74">
        <v>470976.69275801978</v>
      </c>
      <c r="T36" s="74">
        <v>470976.69275801978</v>
      </c>
      <c r="U36" s="74">
        <v>0</v>
      </c>
      <c r="V36" s="74">
        <v>15160.720535797533</v>
      </c>
      <c r="W36" s="74">
        <v>455815.97222222219</v>
      </c>
      <c r="X36" s="75"/>
      <c r="Y36" s="75" t="s">
        <v>211</v>
      </c>
    </row>
    <row r="37" spans="1:25" x14ac:dyDescent="0.25">
      <c r="A37" s="69" t="s">
        <v>79</v>
      </c>
      <c r="B37" s="69" t="s">
        <v>214</v>
      </c>
      <c r="C37" s="69">
        <v>350</v>
      </c>
      <c r="D37" s="69" t="s">
        <v>98</v>
      </c>
      <c r="E37" s="70">
        <v>42744</v>
      </c>
      <c r="F37" s="70">
        <v>43467</v>
      </c>
      <c r="G37" s="70">
        <v>45838</v>
      </c>
      <c r="H37" s="69" t="s">
        <v>94</v>
      </c>
      <c r="I37" s="69" t="s">
        <v>86</v>
      </c>
      <c r="J37" s="71">
        <v>6.1999999999999998E-3</v>
      </c>
      <c r="K37" s="69" t="s">
        <v>95</v>
      </c>
      <c r="L37" s="69" t="s">
        <v>83</v>
      </c>
      <c r="M37" s="69" t="s">
        <v>72</v>
      </c>
      <c r="N37" s="72">
        <v>50000000</v>
      </c>
      <c r="O37" s="69" t="s">
        <v>72</v>
      </c>
      <c r="P37" s="72">
        <v>50000000</v>
      </c>
      <c r="Q37" s="69"/>
      <c r="R37" s="73">
        <v>3.3897845629207245E-2</v>
      </c>
      <c r="S37" s="74">
        <v>1694892.2814603623</v>
      </c>
      <c r="T37" s="74">
        <v>1694892.2814603623</v>
      </c>
      <c r="U37" s="74">
        <v>0</v>
      </c>
      <c r="V37" s="74">
        <v>1690302.0036825845</v>
      </c>
      <c r="W37" s="74">
        <v>4590.2777777777774</v>
      </c>
      <c r="X37" s="75"/>
      <c r="Y37" s="75" t="s">
        <v>215</v>
      </c>
    </row>
    <row r="38" spans="1:25" x14ac:dyDescent="0.25">
      <c r="A38" s="69" t="s">
        <v>79</v>
      </c>
      <c r="B38" s="69" t="s">
        <v>216</v>
      </c>
      <c r="C38" s="69">
        <v>351</v>
      </c>
      <c r="D38" s="69" t="s">
        <v>217</v>
      </c>
      <c r="E38" s="70">
        <v>42745</v>
      </c>
      <c r="F38" s="70">
        <v>43467</v>
      </c>
      <c r="G38" s="70">
        <v>45838</v>
      </c>
      <c r="H38" s="69" t="s">
        <v>94</v>
      </c>
      <c r="I38" s="69" t="s">
        <v>86</v>
      </c>
      <c r="J38" s="71">
        <v>6.2300000000000003E-3</v>
      </c>
      <c r="K38" s="69" t="s">
        <v>95</v>
      </c>
      <c r="L38" s="69" t="s">
        <v>83</v>
      </c>
      <c r="M38" s="69" t="s">
        <v>72</v>
      </c>
      <c r="N38" s="72">
        <v>50000000</v>
      </c>
      <c r="O38" s="69" t="s">
        <v>72</v>
      </c>
      <c r="P38" s="72">
        <v>50000000</v>
      </c>
      <c r="Q38" s="69"/>
      <c r="R38" s="73">
        <v>3.3848693354778893E-2</v>
      </c>
      <c r="S38" s="74">
        <v>1692434.6677389448</v>
      </c>
      <c r="T38" s="74">
        <v>1692434.6677389448</v>
      </c>
      <c r="U38" s="74">
        <v>0</v>
      </c>
      <c r="V38" s="74">
        <v>1687848.5566278338</v>
      </c>
      <c r="W38" s="74">
        <v>4586.1111111111113</v>
      </c>
      <c r="X38" s="75"/>
      <c r="Y38" s="75" t="s">
        <v>218</v>
      </c>
    </row>
    <row r="39" spans="1:25" x14ac:dyDescent="0.25">
      <c r="A39" s="69" t="s">
        <v>79</v>
      </c>
      <c r="B39" s="69" t="s">
        <v>225</v>
      </c>
      <c r="C39" s="69">
        <v>355</v>
      </c>
      <c r="D39" s="69" t="s">
        <v>98</v>
      </c>
      <c r="E39" s="70">
        <v>42788</v>
      </c>
      <c r="F39" s="70">
        <v>45278</v>
      </c>
      <c r="G39" s="70">
        <v>46009</v>
      </c>
      <c r="H39" s="69" t="s">
        <v>94</v>
      </c>
      <c r="I39" s="69" t="s">
        <v>86</v>
      </c>
      <c r="J39" s="71">
        <v>1.393E-2</v>
      </c>
      <c r="K39" s="69" t="s">
        <v>95</v>
      </c>
      <c r="L39" s="69" t="s">
        <v>83</v>
      </c>
      <c r="M39" s="69" t="s">
        <v>72</v>
      </c>
      <c r="N39" s="72">
        <v>50000000</v>
      </c>
      <c r="O39" s="69" t="s">
        <v>72</v>
      </c>
      <c r="P39" s="72">
        <v>50000000</v>
      </c>
      <c r="Q39" s="69"/>
      <c r="R39" s="73">
        <v>2.5526691384279415E-2</v>
      </c>
      <c r="S39" s="74">
        <v>1276334.5692139708</v>
      </c>
      <c r="T39" s="74">
        <v>1276334.5692139708</v>
      </c>
      <c r="U39" s="74">
        <v>0</v>
      </c>
      <c r="V39" s="74">
        <v>1234017.9025473043</v>
      </c>
      <c r="W39" s="74">
        <v>42316.666666666664</v>
      </c>
      <c r="X39" s="75"/>
      <c r="Y39" s="75" t="s">
        <v>226</v>
      </c>
    </row>
    <row r="40" spans="1:25" x14ac:dyDescent="0.25">
      <c r="A40" s="69" t="s">
        <v>79</v>
      </c>
      <c r="B40" s="69" t="s">
        <v>227</v>
      </c>
      <c r="C40" s="69">
        <v>356</v>
      </c>
      <c r="D40" s="69" t="s">
        <v>98</v>
      </c>
      <c r="E40" s="70">
        <v>42788</v>
      </c>
      <c r="F40" s="70">
        <v>45300</v>
      </c>
      <c r="G40" s="70">
        <v>46031</v>
      </c>
      <c r="H40" s="69" t="s">
        <v>94</v>
      </c>
      <c r="I40" s="69" t="s">
        <v>86</v>
      </c>
      <c r="J40" s="71">
        <v>1.4069999999999999E-2</v>
      </c>
      <c r="K40" s="69" t="s">
        <v>95</v>
      </c>
      <c r="L40" s="69" t="s">
        <v>83</v>
      </c>
      <c r="M40" s="69" t="s">
        <v>72</v>
      </c>
      <c r="N40" s="72">
        <v>125000000</v>
      </c>
      <c r="O40" s="69" t="s">
        <v>72</v>
      </c>
      <c r="P40" s="72">
        <v>0</v>
      </c>
      <c r="Q40" s="69"/>
      <c r="R40" s="73">
        <v>2.3976798069242078E-2</v>
      </c>
      <c r="S40" s="74">
        <v>2997099.7586552599</v>
      </c>
      <c r="T40" s="74">
        <v>2997099.7586552599</v>
      </c>
      <c r="U40" s="74">
        <v>0</v>
      </c>
      <c r="V40" s="74">
        <v>2997099.7586552599</v>
      </c>
      <c r="W40" s="74">
        <v>0</v>
      </c>
      <c r="X40" s="75"/>
      <c r="Y40" s="75" t="s">
        <v>226</v>
      </c>
    </row>
    <row r="41" spans="1:25" x14ac:dyDescent="0.25">
      <c r="A41" s="69" t="s">
        <v>79</v>
      </c>
      <c r="B41" s="69" t="s">
        <v>228</v>
      </c>
      <c r="C41" s="69">
        <v>357</v>
      </c>
      <c r="D41" s="69" t="s">
        <v>88</v>
      </c>
      <c r="E41" s="70">
        <v>42793</v>
      </c>
      <c r="F41" s="70">
        <v>45275</v>
      </c>
      <c r="G41" s="70">
        <v>46006</v>
      </c>
      <c r="H41" s="69" t="s">
        <v>94</v>
      </c>
      <c r="I41" s="69" t="s">
        <v>86</v>
      </c>
      <c r="J41" s="71">
        <v>1.315E-2</v>
      </c>
      <c r="K41" s="69" t="s">
        <v>95</v>
      </c>
      <c r="L41" s="69" t="s">
        <v>83</v>
      </c>
      <c r="M41" s="69" t="s">
        <v>72</v>
      </c>
      <c r="N41" s="72">
        <v>100000000</v>
      </c>
      <c r="O41" s="69" t="s">
        <v>72</v>
      </c>
      <c r="P41" s="72">
        <v>100000000</v>
      </c>
      <c r="Q41" s="69"/>
      <c r="R41" s="73">
        <v>2.7199238757483667E-2</v>
      </c>
      <c r="S41" s="74">
        <v>2719923.8757483666</v>
      </c>
      <c r="T41" s="74">
        <v>2719923.8757483666</v>
      </c>
      <c r="U41" s="74">
        <v>0</v>
      </c>
      <c r="V41" s="74">
        <v>2611173.8757483666</v>
      </c>
      <c r="W41" s="74">
        <v>108750.00000000003</v>
      </c>
      <c r="X41" s="75"/>
      <c r="Y41" s="75" t="s">
        <v>229</v>
      </c>
    </row>
    <row r="42" spans="1:25" x14ac:dyDescent="0.25">
      <c r="A42" s="69" t="s">
        <v>79</v>
      </c>
      <c r="B42" s="69" t="s">
        <v>237</v>
      </c>
      <c r="C42" s="69">
        <v>365</v>
      </c>
      <c r="D42" s="69" t="s">
        <v>98</v>
      </c>
      <c r="E42" s="70">
        <v>42884</v>
      </c>
      <c r="F42" s="70">
        <v>45293</v>
      </c>
      <c r="G42" s="70">
        <v>46024</v>
      </c>
      <c r="H42" s="69" t="s">
        <v>94</v>
      </c>
      <c r="I42" s="69" t="s">
        <v>86</v>
      </c>
      <c r="J42" s="71">
        <v>1.387E-2</v>
      </c>
      <c r="K42" s="69" t="s">
        <v>95</v>
      </c>
      <c r="L42" s="69" t="s">
        <v>83</v>
      </c>
      <c r="M42" s="69" t="s">
        <v>72</v>
      </c>
      <c r="N42" s="72">
        <v>110000000</v>
      </c>
      <c r="O42" s="69" t="s">
        <v>72</v>
      </c>
      <c r="P42" s="72">
        <v>0</v>
      </c>
      <c r="Q42" s="69"/>
      <c r="R42" s="73">
        <v>2.4750122318169126E-2</v>
      </c>
      <c r="S42" s="74">
        <v>2722513.454998604</v>
      </c>
      <c r="T42" s="74">
        <v>2722513.454998604</v>
      </c>
      <c r="U42" s="74">
        <v>0</v>
      </c>
      <c r="V42" s="74">
        <v>2722513.454998604</v>
      </c>
      <c r="W42" s="74">
        <v>0</v>
      </c>
      <c r="X42" s="75"/>
      <c r="Y42" s="75" t="s">
        <v>238</v>
      </c>
    </row>
    <row r="43" spans="1:25" x14ac:dyDescent="0.25">
      <c r="A43" s="69" t="s">
        <v>79</v>
      </c>
      <c r="B43" s="69" t="s">
        <v>239</v>
      </c>
      <c r="C43" s="69">
        <v>366</v>
      </c>
      <c r="D43" s="69" t="s">
        <v>98</v>
      </c>
      <c r="E43" s="70">
        <v>42935</v>
      </c>
      <c r="F43" s="70">
        <v>45307</v>
      </c>
      <c r="G43" s="70">
        <v>46038</v>
      </c>
      <c r="H43" s="69" t="s">
        <v>94</v>
      </c>
      <c r="I43" s="69" t="s">
        <v>86</v>
      </c>
      <c r="J43" s="71">
        <v>1.52E-2</v>
      </c>
      <c r="K43" s="69" t="s">
        <v>95</v>
      </c>
      <c r="L43" s="69" t="s">
        <v>83</v>
      </c>
      <c r="M43" s="69" t="s">
        <v>72</v>
      </c>
      <c r="N43" s="72">
        <v>120000000</v>
      </c>
      <c r="O43" s="69" t="s">
        <v>72</v>
      </c>
      <c r="P43" s="72">
        <v>0</v>
      </c>
      <c r="Q43" s="69"/>
      <c r="R43" s="73">
        <v>2.1353096265850149E-2</v>
      </c>
      <c r="S43" s="74">
        <v>2562371.551902018</v>
      </c>
      <c r="T43" s="74">
        <v>2562371.551902018</v>
      </c>
      <c r="U43" s="74">
        <v>0</v>
      </c>
      <c r="V43" s="74">
        <v>2562371.551902018</v>
      </c>
      <c r="W43" s="74">
        <v>0</v>
      </c>
      <c r="X43" s="75"/>
      <c r="Y43" s="75" t="s">
        <v>240</v>
      </c>
    </row>
    <row r="44" spans="1:25" x14ac:dyDescent="0.25">
      <c r="A44" s="69" t="s">
        <v>79</v>
      </c>
      <c r="B44" s="69" t="s">
        <v>241</v>
      </c>
      <c r="C44" s="69">
        <v>367</v>
      </c>
      <c r="D44" s="69" t="s">
        <v>91</v>
      </c>
      <c r="E44" s="70">
        <v>42958</v>
      </c>
      <c r="F44" s="70">
        <v>45309</v>
      </c>
      <c r="G44" s="70">
        <v>46041</v>
      </c>
      <c r="H44" s="69" t="s">
        <v>94</v>
      </c>
      <c r="I44" s="69" t="s">
        <v>86</v>
      </c>
      <c r="J44" s="71">
        <v>1.375E-2</v>
      </c>
      <c r="K44" s="69" t="s">
        <v>95</v>
      </c>
      <c r="L44" s="69" t="s">
        <v>83</v>
      </c>
      <c r="M44" s="69" t="s">
        <v>72</v>
      </c>
      <c r="N44" s="72">
        <v>67000000</v>
      </c>
      <c r="O44" s="69" t="s">
        <v>72</v>
      </c>
      <c r="P44" s="72">
        <v>0</v>
      </c>
      <c r="Q44" s="69"/>
      <c r="R44" s="73">
        <v>2.4068813378687489E-2</v>
      </c>
      <c r="S44" s="74">
        <v>1612610.4963720618</v>
      </c>
      <c r="T44" s="74">
        <v>1612610.4963720618</v>
      </c>
      <c r="U44" s="74">
        <v>0</v>
      </c>
      <c r="V44" s="74">
        <v>1612610.4963720618</v>
      </c>
      <c r="W44" s="74">
        <v>0</v>
      </c>
      <c r="X44" s="75"/>
      <c r="Y44" s="75" t="s">
        <v>242</v>
      </c>
    </row>
    <row r="45" spans="1:25" x14ac:dyDescent="0.25">
      <c r="A45" s="69" t="s">
        <v>79</v>
      </c>
      <c r="B45" s="69" t="s">
        <v>243</v>
      </c>
      <c r="C45" s="69">
        <v>368</v>
      </c>
      <c r="D45" s="69" t="s">
        <v>91</v>
      </c>
      <c r="E45" s="70">
        <v>42958</v>
      </c>
      <c r="F45" s="70">
        <v>45350</v>
      </c>
      <c r="G45" s="70">
        <v>46080</v>
      </c>
      <c r="H45" s="69" t="s">
        <v>94</v>
      </c>
      <c r="I45" s="69" t="s">
        <v>86</v>
      </c>
      <c r="J45" s="71">
        <v>1.4024999999999999E-2</v>
      </c>
      <c r="K45" s="69" t="s">
        <v>95</v>
      </c>
      <c r="L45" s="69" t="s">
        <v>83</v>
      </c>
      <c r="M45" s="69" t="s">
        <v>72</v>
      </c>
      <c r="N45" s="72">
        <v>60000000</v>
      </c>
      <c r="O45" s="69" t="s">
        <v>72</v>
      </c>
      <c r="P45" s="72">
        <v>0</v>
      </c>
      <c r="Q45" s="69"/>
      <c r="R45" s="73">
        <v>2.1188391902278773E-2</v>
      </c>
      <c r="S45" s="74">
        <v>1271303.5141367265</v>
      </c>
      <c r="T45" s="74">
        <v>1271303.5141367265</v>
      </c>
      <c r="U45" s="74">
        <v>0</v>
      </c>
      <c r="V45" s="74">
        <v>1271303.5141367265</v>
      </c>
      <c r="W45" s="74">
        <v>0</v>
      </c>
      <c r="X45" s="75"/>
      <c r="Y45" s="75" t="s">
        <v>244</v>
      </c>
    </row>
    <row r="46" spans="1:25" x14ac:dyDescent="0.25">
      <c r="A46" s="69" t="s">
        <v>79</v>
      </c>
      <c r="B46" s="69" t="s">
        <v>245</v>
      </c>
      <c r="C46" s="69">
        <v>369</v>
      </c>
      <c r="D46" s="69" t="s">
        <v>109</v>
      </c>
      <c r="E46" s="70">
        <v>43024</v>
      </c>
      <c r="F46" s="70">
        <v>45379</v>
      </c>
      <c r="G46" s="70">
        <v>46109</v>
      </c>
      <c r="H46" s="69" t="s">
        <v>94</v>
      </c>
      <c r="I46" s="69" t="s">
        <v>86</v>
      </c>
      <c r="J46" s="71">
        <v>1.452E-2</v>
      </c>
      <c r="K46" s="69" t="s">
        <v>95</v>
      </c>
      <c r="L46" s="69" t="s">
        <v>83</v>
      </c>
      <c r="M46" s="69" t="s">
        <v>72</v>
      </c>
      <c r="N46" s="72">
        <v>100000000</v>
      </c>
      <c r="O46" s="69" t="s">
        <v>72</v>
      </c>
      <c r="P46" s="72">
        <v>0</v>
      </c>
      <c r="Q46" s="69"/>
      <c r="R46" s="73">
        <v>1.865074395887259E-2</v>
      </c>
      <c r="S46" s="74">
        <v>1865074.3958872589</v>
      </c>
      <c r="T46" s="74">
        <v>1865074.3958872589</v>
      </c>
      <c r="U46" s="74">
        <v>0</v>
      </c>
      <c r="V46" s="74">
        <v>1865074.3958872589</v>
      </c>
      <c r="W46" s="74">
        <v>0</v>
      </c>
      <c r="X46" s="75"/>
      <c r="Y46" s="75" t="s">
        <v>246</v>
      </c>
    </row>
    <row r="47" spans="1:25" x14ac:dyDescent="0.25">
      <c r="A47" s="69" t="s">
        <v>79</v>
      </c>
      <c r="B47" s="69" t="s">
        <v>247</v>
      </c>
      <c r="C47" s="69">
        <v>370</v>
      </c>
      <c r="D47" s="69" t="s">
        <v>248</v>
      </c>
      <c r="E47" s="70">
        <v>43047</v>
      </c>
      <c r="F47" s="70">
        <v>45401</v>
      </c>
      <c r="G47" s="70">
        <v>46131</v>
      </c>
      <c r="H47" s="69" t="s">
        <v>94</v>
      </c>
      <c r="I47" s="69" t="s">
        <v>86</v>
      </c>
      <c r="J47" s="71">
        <v>1.3780000000000001E-2</v>
      </c>
      <c r="K47" s="69" t="s">
        <v>95</v>
      </c>
      <c r="L47" s="69" t="s">
        <v>83</v>
      </c>
      <c r="M47" s="69" t="s">
        <v>72</v>
      </c>
      <c r="N47" s="72">
        <v>100000000</v>
      </c>
      <c r="O47" s="69" t="s">
        <v>72</v>
      </c>
      <c r="P47" s="72">
        <v>0</v>
      </c>
      <c r="Q47" s="69"/>
      <c r="R47" s="73">
        <v>1.8945743251774245E-2</v>
      </c>
      <c r="S47" s="74">
        <v>1894574.3251774246</v>
      </c>
      <c r="T47" s="74">
        <v>1894574.3251774246</v>
      </c>
      <c r="U47" s="74">
        <v>0</v>
      </c>
      <c r="V47" s="74">
        <v>1894574.3251774246</v>
      </c>
      <c r="W47" s="74">
        <v>0</v>
      </c>
      <c r="X47" s="75"/>
      <c r="Y47" s="75" t="s">
        <v>354</v>
      </c>
    </row>
    <row r="48" spans="1:25" x14ac:dyDescent="0.25">
      <c r="A48" s="69" t="s">
        <v>79</v>
      </c>
      <c r="B48" s="69" t="s">
        <v>250</v>
      </c>
      <c r="C48" s="69">
        <v>371</v>
      </c>
      <c r="D48" s="69" t="s">
        <v>109</v>
      </c>
      <c r="E48" s="70">
        <v>43062</v>
      </c>
      <c r="F48" s="70">
        <v>45425</v>
      </c>
      <c r="G48" s="70">
        <v>46154</v>
      </c>
      <c r="H48" s="69" t="s">
        <v>94</v>
      </c>
      <c r="I48" s="69" t="s">
        <v>86</v>
      </c>
      <c r="J48" s="71">
        <v>1.3465E-2</v>
      </c>
      <c r="K48" s="69" t="s">
        <v>95</v>
      </c>
      <c r="L48" s="69" t="s">
        <v>83</v>
      </c>
      <c r="M48" s="69" t="s">
        <v>72</v>
      </c>
      <c r="N48" s="72">
        <v>100000000</v>
      </c>
      <c r="O48" s="69" t="s">
        <v>72</v>
      </c>
      <c r="P48" s="72">
        <v>0</v>
      </c>
      <c r="Q48" s="69"/>
      <c r="R48" s="73">
        <v>1.8415094977148272E-2</v>
      </c>
      <c r="S48" s="74">
        <v>1841509.4977148273</v>
      </c>
      <c r="T48" s="74">
        <v>1841509.4977148273</v>
      </c>
      <c r="U48" s="74">
        <v>0</v>
      </c>
      <c r="V48" s="74">
        <v>1841509.4977148273</v>
      </c>
      <c r="W48" s="74">
        <v>0</v>
      </c>
      <c r="X48" s="75"/>
      <c r="Y48" s="75" t="s">
        <v>251</v>
      </c>
    </row>
    <row r="49" spans="1:26" x14ac:dyDescent="0.25">
      <c r="A49" s="69" t="s">
        <v>79</v>
      </c>
      <c r="B49" s="69" t="s">
        <v>306</v>
      </c>
      <c r="C49" s="69">
        <v>378</v>
      </c>
      <c r="D49" s="69" t="s">
        <v>98</v>
      </c>
      <c r="E49" s="70">
        <v>43199</v>
      </c>
      <c r="F49" s="70">
        <v>45446</v>
      </c>
      <c r="G49" s="70">
        <v>46176</v>
      </c>
      <c r="H49" s="69" t="s">
        <v>94</v>
      </c>
      <c r="I49" s="69" t="s">
        <v>86</v>
      </c>
      <c r="J49" s="71">
        <v>1.435E-2</v>
      </c>
      <c r="K49" s="69" t="s">
        <v>95</v>
      </c>
      <c r="L49" s="69" t="s">
        <v>83</v>
      </c>
      <c r="M49" s="69" t="s">
        <v>72</v>
      </c>
      <c r="N49" s="72">
        <v>100000000</v>
      </c>
      <c r="O49" s="69" t="s">
        <v>72</v>
      </c>
      <c r="P49" s="72">
        <v>0</v>
      </c>
      <c r="Q49" s="69"/>
      <c r="R49" s="73">
        <v>1.5753758829182885E-2</v>
      </c>
      <c r="S49" s="74">
        <v>1575375.8829182885</v>
      </c>
      <c r="T49" s="74">
        <v>1575375.8829182885</v>
      </c>
      <c r="U49" s="74">
        <v>0</v>
      </c>
      <c r="V49" s="74">
        <v>1575375.8829182885</v>
      </c>
      <c r="W49" s="74">
        <v>0</v>
      </c>
      <c r="X49" s="75"/>
      <c r="Y49" s="75" t="s">
        <v>307</v>
      </c>
    </row>
    <row r="50" spans="1:26" x14ac:dyDescent="0.25">
      <c r="A50" s="69" t="s">
        <v>79</v>
      </c>
      <c r="B50" s="69" t="s">
        <v>308</v>
      </c>
      <c r="C50" s="69">
        <v>379</v>
      </c>
      <c r="D50" s="69" t="s">
        <v>109</v>
      </c>
      <c r="E50" s="70">
        <v>43249</v>
      </c>
      <c r="F50" s="70">
        <v>45470</v>
      </c>
      <c r="G50" s="70">
        <v>46200</v>
      </c>
      <c r="H50" s="69" t="s">
        <v>94</v>
      </c>
      <c r="I50" s="69" t="s">
        <v>86</v>
      </c>
      <c r="J50" s="71">
        <v>1.3625E-2</v>
      </c>
      <c r="K50" s="69" t="s">
        <v>95</v>
      </c>
      <c r="L50" s="69" t="s">
        <v>83</v>
      </c>
      <c r="M50" s="69" t="s">
        <v>72</v>
      </c>
      <c r="N50" s="72">
        <v>100000000</v>
      </c>
      <c r="O50" s="69" t="s">
        <v>72</v>
      </c>
      <c r="P50" s="72">
        <v>0</v>
      </c>
      <c r="Q50" s="69"/>
      <c r="R50" s="73">
        <v>1.6159463196764891E-2</v>
      </c>
      <c r="S50" s="74">
        <v>1615946.3196764891</v>
      </c>
      <c r="T50" s="74">
        <v>1615946.3196764891</v>
      </c>
      <c r="U50" s="74">
        <v>0</v>
      </c>
      <c r="V50" s="74">
        <v>1615946.3196764891</v>
      </c>
      <c r="W50" s="74">
        <v>0</v>
      </c>
      <c r="X50" s="75"/>
      <c r="Y50" s="75" t="s">
        <v>309</v>
      </c>
    </row>
    <row r="51" spans="1:26" x14ac:dyDescent="0.25">
      <c r="A51" s="69" t="s">
        <v>79</v>
      </c>
      <c r="B51" s="69" t="s">
        <v>310</v>
      </c>
      <c r="C51" s="69">
        <v>380</v>
      </c>
      <c r="D51" s="69" t="s">
        <v>98</v>
      </c>
      <c r="E51" s="70">
        <v>43255</v>
      </c>
      <c r="F51" s="70">
        <v>45474</v>
      </c>
      <c r="G51" s="70">
        <v>46203</v>
      </c>
      <c r="H51" s="69" t="s">
        <v>94</v>
      </c>
      <c r="I51" s="69" t="s">
        <v>86</v>
      </c>
      <c r="J51" s="71">
        <v>1.4489999999999999E-2</v>
      </c>
      <c r="K51" s="69" t="s">
        <v>95</v>
      </c>
      <c r="L51" s="69" t="s">
        <v>83</v>
      </c>
      <c r="M51" s="69" t="s">
        <v>72</v>
      </c>
      <c r="N51" s="72">
        <v>100000000</v>
      </c>
      <c r="O51" s="69" t="s">
        <v>72</v>
      </c>
      <c r="P51" s="72">
        <v>0</v>
      </c>
      <c r="Q51" s="69"/>
      <c r="R51" s="73">
        <v>1.430683739251956E-2</v>
      </c>
      <c r="S51" s="74">
        <v>1430683.7392519559</v>
      </c>
      <c r="T51" s="74">
        <v>1430683.7392519559</v>
      </c>
      <c r="U51" s="74">
        <v>0</v>
      </c>
      <c r="V51" s="74">
        <v>1430683.7392519559</v>
      </c>
      <c r="W51" s="74">
        <v>0</v>
      </c>
      <c r="X51" s="75"/>
      <c r="Y51" s="75" t="s">
        <v>311</v>
      </c>
    </row>
    <row r="52" spans="1:26" x14ac:dyDescent="0.25">
      <c r="A52" s="69" t="s">
        <v>79</v>
      </c>
      <c r="B52" s="69" t="s">
        <v>312</v>
      </c>
      <c r="C52" s="69">
        <v>381</v>
      </c>
      <c r="D52" s="69" t="s">
        <v>88</v>
      </c>
      <c r="E52" s="70">
        <v>43270</v>
      </c>
      <c r="F52" s="70">
        <v>45478</v>
      </c>
      <c r="G52" s="70">
        <v>46208</v>
      </c>
      <c r="H52" s="69" t="s">
        <v>94</v>
      </c>
      <c r="I52" s="69" t="s">
        <v>86</v>
      </c>
      <c r="J52" s="71">
        <v>1.392E-2</v>
      </c>
      <c r="K52" s="69" t="s">
        <v>95</v>
      </c>
      <c r="L52" s="69" t="s">
        <v>83</v>
      </c>
      <c r="M52" s="69" t="s">
        <v>72</v>
      </c>
      <c r="N52" s="72">
        <v>100000000</v>
      </c>
      <c r="O52" s="69" t="s">
        <v>72</v>
      </c>
      <c r="P52" s="72">
        <v>0</v>
      </c>
      <c r="Q52" s="69"/>
      <c r="R52" s="73">
        <v>1.5292887583235586E-2</v>
      </c>
      <c r="S52" s="74">
        <v>1529288.7583235586</v>
      </c>
      <c r="T52" s="74">
        <v>1529288.7583235586</v>
      </c>
      <c r="U52" s="74">
        <v>0</v>
      </c>
      <c r="V52" s="74">
        <v>1529288.7583235586</v>
      </c>
      <c r="W52" s="74">
        <v>0</v>
      </c>
      <c r="X52" s="75"/>
      <c r="Y52" s="75" t="s">
        <v>313</v>
      </c>
    </row>
    <row r="53" spans="1:26" x14ac:dyDescent="0.25">
      <c r="A53" s="69" t="s">
        <v>79</v>
      </c>
      <c r="B53" s="69" t="s">
        <v>343</v>
      </c>
      <c r="C53" s="69">
        <v>384</v>
      </c>
      <c r="D53" s="69" t="s">
        <v>248</v>
      </c>
      <c r="E53" s="70">
        <v>41334</v>
      </c>
      <c r="F53" s="70">
        <v>42185</v>
      </c>
      <c r="G53" s="70">
        <v>49490</v>
      </c>
      <c r="H53" s="69" t="s">
        <v>94</v>
      </c>
      <c r="I53" s="69" t="s">
        <v>86</v>
      </c>
      <c r="J53" s="71">
        <v>4.5600000000000002E-2</v>
      </c>
      <c r="K53" s="69" t="s">
        <v>95</v>
      </c>
      <c r="L53" s="69" t="s">
        <v>83</v>
      </c>
      <c r="M53" s="69" t="s">
        <v>72</v>
      </c>
      <c r="N53" s="72">
        <v>7650000</v>
      </c>
      <c r="O53" s="69" t="s">
        <v>72</v>
      </c>
      <c r="P53" s="72">
        <v>4630262.9999999898</v>
      </c>
      <c r="Q53" s="69"/>
      <c r="R53" s="76">
        <v>-8.9267269108337828E-3</v>
      </c>
      <c r="S53" s="77">
        <v>-41333.093326337868</v>
      </c>
      <c r="T53" s="77">
        <v>-41333.093326337868</v>
      </c>
      <c r="U53" s="74">
        <v>0</v>
      </c>
      <c r="V53" s="77">
        <v>-41508.657465087868</v>
      </c>
      <c r="W53" s="74">
        <v>175.56413874999998</v>
      </c>
      <c r="X53" s="75"/>
      <c r="Y53" s="75" t="s">
        <v>355</v>
      </c>
    </row>
    <row r="54" spans="1:26" x14ac:dyDescent="0.25">
      <c r="A54" s="69" t="s">
        <v>79</v>
      </c>
      <c r="B54" s="69" t="s">
        <v>344</v>
      </c>
      <c r="C54" s="69">
        <v>385</v>
      </c>
      <c r="D54" s="69" t="s">
        <v>248</v>
      </c>
      <c r="E54" s="70">
        <v>41334</v>
      </c>
      <c r="F54" s="70">
        <v>42185</v>
      </c>
      <c r="G54" s="70">
        <v>49490</v>
      </c>
      <c r="H54" s="69" t="s">
        <v>94</v>
      </c>
      <c r="I54" s="69" t="s">
        <v>86</v>
      </c>
      <c r="J54" s="71">
        <v>4.5600000000000002E-2</v>
      </c>
      <c r="K54" s="69" t="s">
        <v>95</v>
      </c>
      <c r="L54" s="69" t="s">
        <v>83</v>
      </c>
      <c r="M54" s="69" t="s">
        <v>72</v>
      </c>
      <c r="N54" s="72">
        <v>16500000</v>
      </c>
      <c r="O54" s="69" t="s">
        <v>72</v>
      </c>
      <c r="P54" s="72">
        <v>9487500</v>
      </c>
      <c r="Q54" s="69"/>
      <c r="R54" s="76">
        <v>-8.9267270705151482E-3</v>
      </c>
      <c r="S54" s="77">
        <v>-84692.32308151247</v>
      </c>
      <c r="T54" s="77">
        <v>-84692.32308151247</v>
      </c>
      <c r="U54" s="74">
        <v>0</v>
      </c>
      <c r="V54" s="77">
        <v>-85052.05745651247</v>
      </c>
      <c r="W54" s="74">
        <v>359.734375</v>
      </c>
      <c r="X54" s="75"/>
      <c r="Y54" s="75" t="s">
        <v>356</v>
      </c>
    </row>
    <row r="55" spans="1:26" x14ac:dyDescent="0.25">
      <c r="A55" s="69" t="s">
        <v>79</v>
      </c>
      <c r="B55" s="69" t="s">
        <v>346</v>
      </c>
      <c r="C55" s="69">
        <v>386</v>
      </c>
      <c r="D55" s="69" t="s">
        <v>347</v>
      </c>
      <c r="E55" s="70">
        <v>42824</v>
      </c>
      <c r="F55" s="70">
        <v>42828</v>
      </c>
      <c r="G55" s="70">
        <v>46477</v>
      </c>
      <c r="H55" s="69" t="s">
        <v>94</v>
      </c>
      <c r="I55" s="69" t="s">
        <v>86</v>
      </c>
      <c r="J55" s="71">
        <v>4.2500000000000003E-3</v>
      </c>
      <c r="K55" s="69" t="s">
        <v>95</v>
      </c>
      <c r="L55" s="69" t="s">
        <v>83</v>
      </c>
      <c r="M55" s="69" t="s">
        <v>72</v>
      </c>
      <c r="N55" s="72">
        <v>2688186.81</v>
      </c>
      <c r="O55" s="69" t="s">
        <v>72</v>
      </c>
      <c r="P55" s="72">
        <v>856997.44</v>
      </c>
      <c r="Q55" s="69"/>
      <c r="R55" s="73">
        <v>3.8257450275306484E-2</v>
      </c>
      <c r="S55" s="74">
        <v>32786.536946864951</v>
      </c>
      <c r="T55" s="74">
        <v>32786.536946864951</v>
      </c>
      <c r="U55" s="74">
        <v>0</v>
      </c>
      <c r="V55" s="74">
        <v>32703.217751309396</v>
      </c>
      <c r="W55" s="74">
        <v>83.319195555555552</v>
      </c>
      <c r="X55" s="75"/>
      <c r="Y55" s="75" t="s">
        <v>357</v>
      </c>
    </row>
    <row r="56" spans="1:26" x14ac:dyDescent="0.25">
      <c r="A56" s="69" t="s">
        <v>79</v>
      </c>
      <c r="B56" s="69" t="s">
        <v>349</v>
      </c>
      <c r="C56" s="69">
        <v>387</v>
      </c>
      <c r="D56" s="69" t="s">
        <v>91</v>
      </c>
      <c r="E56" s="70">
        <v>42954</v>
      </c>
      <c r="F56" s="70">
        <v>43832</v>
      </c>
      <c r="G56" s="70">
        <v>47757</v>
      </c>
      <c r="H56" s="69" t="s">
        <v>94</v>
      </c>
      <c r="I56" s="69" t="s">
        <v>86</v>
      </c>
      <c r="J56" s="71">
        <v>2.3699999999999999E-2</v>
      </c>
      <c r="K56" s="69" t="s">
        <v>95</v>
      </c>
      <c r="L56" s="69" t="s">
        <v>83</v>
      </c>
      <c r="M56" s="69" t="s">
        <v>72</v>
      </c>
      <c r="N56" s="72">
        <v>8439681.0199999996</v>
      </c>
      <c r="O56" s="69" t="s">
        <v>72</v>
      </c>
      <c r="P56" s="72">
        <v>6274123.3200000003</v>
      </c>
      <c r="Q56" s="69"/>
      <c r="R56" s="76">
        <v>-4.1951885891380463E-4</v>
      </c>
      <c r="S56" s="77">
        <v>-2632.1130558908917</v>
      </c>
      <c r="T56" s="77">
        <v>-2632.1130558908917</v>
      </c>
      <c r="U56" s="74">
        <v>0</v>
      </c>
      <c r="V56" s="77">
        <v>-2908.348763174225</v>
      </c>
      <c r="W56" s="74">
        <v>276.23570728333334</v>
      </c>
      <c r="X56" s="75"/>
      <c r="Y56" s="75" t="s">
        <v>358</v>
      </c>
    </row>
    <row r="57" spans="1:26" ht="12" customHeight="1" x14ac:dyDescent="0.25">
      <c r="A57" s="69" t="s">
        <v>79</v>
      </c>
      <c r="B57" s="69" t="s">
        <v>350</v>
      </c>
      <c r="C57" s="69">
        <v>389</v>
      </c>
      <c r="D57" s="69" t="s">
        <v>80</v>
      </c>
      <c r="E57" s="70">
        <v>44027</v>
      </c>
      <c r="F57" s="70">
        <v>44027</v>
      </c>
      <c r="G57" s="70">
        <v>47662</v>
      </c>
      <c r="H57" s="69" t="s">
        <v>94</v>
      </c>
      <c r="I57" s="69" t="s">
        <v>86</v>
      </c>
      <c r="J57" s="71">
        <v>0</v>
      </c>
      <c r="K57" s="69" t="s">
        <v>95</v>
      </c>
      <c r="L57" s="69" t="s">
        <v>83</v>
      </c>
      <c r="M57" s="69" t="s">
        <v>72</v>
      </c>
      <c r="N57" s="72">
        <v>12000000</v>
      </c>
      <c r="O57" s="69" t="s">
        <v>72</v>
      </c>
      <c r="P57" s="72">
        <v>9400000</v>
      </c>
      <c r="Q57" s="69"/>
      <c r="R57" s="73">
        <v>0.10636399128295532</v>
      </c>
      <c r="S57" s="74">
        <v>999821.51805978001</v>
      </c>
      <c r="T57" s="74">
        <v>999821.51805978001</v>
      </c>
      <c r="U57" s="74">
        <v>0</v>
      </c>
      <c r="V57" s="74">
        <v>998796.65694866888</v>
      </c>
      <c r="W57" s="74">
        <v>1024.8611111111111</v>
      </c>
      <c r="X57" s="75"/>
      <c r="Y57" s="75" t="s">
        <v>359</v>
      </c>
      <c r="Z57" s="131" t="s">
        <v>351</v>
      </c>
    </row>
    <row r="58" spans="1:26" x14ac:dyDescent="0.25">
      <c r="A58" s="78" t="s">
        <v>79</v>
      </c>
      <c r="B58" s="78" t="s">
        <v>352</v>
      </c>
      <c r="C58" s="78">
        <v>390</v>
      </c>
      <c r="D58" s="78" t="s">
        <v>353</v>
      </c>
      <c r="E58" s="79">
        <v>44407</v>
      </c>
      <c r="F58" s="79">
        <v>44417</v>
      </c>
      <c r="G58" s="79">
        <v>47339</v>
      </c>
      <c r="H58" s="78" t="s">
        <v>94</v>
      </c>
      <c r="I58" s="78" t="s">
        <v>86</v>
      </c>
      <c r="J58" s="80">
        <v>2.018E-2</v>
      </c>
      <c r="K58" s="78" t="s">
        <v>95</v>
      </c>
      <c r="L58" s="78" t="s">
        <v>366</v>
      </c>
      <c r="M58" s="78" t="s">
        <v>72</v>
      </c>
      <c r="N58" s="72">
        <v>48000000</v>
      </c>
      <c r="O58" s="69" t="s">
        <v>72</v>
      </c>
      <c r="P58" s="72">
        <v>48000000</v>
      </c>
      <c r="Q58" s="69"/>
      <c r="R58" s="73">
        <v>7.2485281209455577E-2</v>
      </c>
      <c r="S58" s="74">
        <v>3876249</v>
      </c>
      <c r="T58" s="74">
        <v>3876249</v>
      </c>
      <c r="U58" s="74">
        <v>0</v>
      </c>
      <c r="V58" s="74">
        <v>3879739.1971017267</v>
      </c>
      <c r="W58" s="77">
        <v>-3490.1971017266669</v>
      </c>
      <c r="X58" s="75"/>
      <c r="Y58" s="75" t="s">
        <v>360</v>
      </c>
    </row>
    <row r="59" spans="1:26" x14ac:dyDescent="0.25">
      <c r="A59" s="69"/>
      <c r="B59" s="69"/>
      <c r="C59" s="69"/>
      <c r="D59" s="69"/>
      <c r="E59" s="70"/>
      <c r="F59" s="70"/>
      <c r="G59" s="70"/>
      <c r="H59" s="69"/>
      <c r="I59" s="69"/>
      <c r="J59" s="71"/>
      <c r="K59" s="69"/>
      <c r="L59" s="69"/>
      <c r="M59" s="69"/>
      <c r="N59" s="226" t="s">
        <v>305</v>
      </c>
      <c r="O59" s="87"/>
      <c r="P59" s="87">
        <v>1828648883.76</v>
      </c>
      <c r="Q59" s="87"/>
      <c r="R59" s="87"/>
      <c r="S59" s="102">
        <v>65108906.507792018</v>
      </c>
      <c r="T59" s="102">
        <v>65108906.507792018</v>
      </c>
      <c r="U59" s="102">
        <v>0</v>
      </c>
      <c r="V59" s="229">
        <v>58246444.490366042</v>
      </c>
      <c r="W59" s="102">
        <v>6862462.0174259702</v>
      </c>
      <c r="X59" s="75"/>
      <c r="Y59" s="75"/>
    </row>
    <row r="60" spans="1:26" x14ac:dyDescent="0.25">
      <c r="A60" s="69"/>
      <c r="B60" s="69"/>
      <c r="C60" s="69"/>
      <c r="D60" s="69"/>
      <c r="E60" s="70"/>
      <c r="F60" s="70"/>
      <c r="G60" s="70"/>
      <c r="H60" s="69"/>
      <c r="I60" s="69"/>
      <c r="J60" s="71"/>
      <c r="K60" s="69"/>
      <c r="L60" s="69"/>
      <c r="M60" s="69"/>
      <c r="N60" s="72"/>
      <c r="O60" s="69"/>
      <c r="P60" s="72"/>
      <c r="Q60" s="69"/>
      <c r="R60" s="73"/>
      <c r="S60" s="74"/>
      <c r="T60" s="74"/>
      <c r="U60" s="74"/>
      <c r="V60" s="74"/>
      <c r="W60" s="74"/>
      <c r="X60" s="75"/>
      <c r="Y60" s="75"/>
      <c r="Z60"/>
    </row>
    <row r="61" spans="1:26" x14ac:dyDescent="0.25">
      <c r="A61" s="69"/>
      <c r="B61" s="69"/>
      <c r="C61" s="69"/>
      <c r="D61" s="69"/>
      <c r="E61" s="70"/>
      <c r="F61" s="70"/>
      <c r="G61" s="70"/>
      <c r="H61" s="69"/>
      <c r="I61" s="69"/>
      <c r="J61" s="71"/>
      <c r="K61" s="69"/>
      <c r="L61" s="69"/>
      <c r="M61" s="69"/>
      <c r="N61" s="87" t="s">
        <v>314</v>
      </c>
      <c r="O61" s="87"/>
      <c r="P61" s="87">
        <v>2043648883.76</v>
      </c>
      <c r="Q61" s="87"/>
      <c r="R61" s="87"/>
      <c r="S61" s="102">
        <v>72207120.398056835</v>
      </c>
      <c r="T61" s="102">
        <v>75079517.693917602</v>
      </c>
      <c r="U61" s="102">
        <v>-2872397.2958607702</v>
      </c>
      <c r="V61" s="102">
        <v>64215572.769807421</v>
      </c>
      <c r="W61" s="102">
        <v>7991547.6282494012</v>
      </c>
      <c r="X61" s="75"/>
      <c r="Y61" s="75"/>
      <c r="Z61"/>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N16:W16">
    <cfRule type="cellIs" dxfId="5" priority="3" operator="lessThan">
      <formula>0</formula>
    </cfRule>
  </conditionalFormatting>
  <conditionalFormatting sqref="N59:W59">
    <cfRule type="cellIs" dxfId="4" priority="2" operator="lessThan">
      <formula>0</formula>
    </cfRule>
  </conditionalFormatting>
  <conditionalFormatting sqref="N61:W61">
    <cfRule type="cellIs" dxfId="3" priority="1" operator="lessThan">
      <formula>0</formula>
    </cfRule>
  </conditionalFormatting>
  <conditionalFormatting sqref="T1:W3 S4:U6 V6:W6 T8:W8">
    <cfRule type="cellIs" dxfId="2" priority="4" stopIfTrue="1"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vt:i4>
      </vt:variant>
    </vt:vector>
  </HeadingPairs>
  <TitlesOfParts>
    <vt:vector size="13" baseType="lpstr">
      <vt:lpstr>Synthèse</vt:lpstr>
      <vt:lpstr>2024 12 - FX</vt:lpstr>
      <vt:lpstr>Lissage VT 2018</vt:lpstr>
      <vt:lpstr>Kérius - 2017 12 non G0 Eur</vt:lpstr>
      <vt:lpstr>Kérius - 2017 12 non G0 CHF</vt:lpstr>
      <vt:lpstr>Kérius - 2017 12 - Change</vt:lpstr>
      <vt:lpstr>Lissage VT DEF</vt:lpstr>
      <vt:lpstr>Kérius - 2017 12 G0 Eur</vt:lpstr>
      <vt:lpstr>2023 12 - G0 Eur</vt:lpstr>
      <vt:lpstr>2024 12 - G0 Eur</vt:lpstr>
      <vt:lpstr>'2024 12 - G0 Eur'!fxPortfolioInput</vt:lpstr>
      <vt:lpstr>'2024 12 - G0 Eur'!Zone_d_impression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Solal Huard</cp:lastModifiedBy>
  <cp:lastPrinted>2024-10-01T12:31:54Z</cp:lastPrinted>
  <dcterms:created xsi:type="dcterms:W3CDTF">2019-05-06T12:40:02Z</dcterms:created>
  <dcterms:modified xsi:type="dcterms:W3CDTF">2025-01-03T08:11:50Z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