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https://divisionsantevaleo-my.sharepoint.com/personal/aelshokri_dsisp_ca/Documents/Documents/Banques/"/>
    </mc:Choice>
  </mc:AlternateContent>
  <xr:revisionPtr revIDLastSave="1093" documentId="13_ncr:1_{502325DA-927A-4AD9-BC95-177D02B00C2F}" xr6:coauthVersionLast="47" xr6:coauthVersionMax="47" xr10:uidLastSave="{4D0FA9C8-DFCE-496B-9FCD-4DD3C1BBA5C8}"/>
  <bookViews>
    <workbookView xWindow="28680" yWindow="-120" windowWidth="38640" windowHeight="15720" xr2:uid="{00000000-000D-0000-FFFF-FFFF00000000}"/>
  </bookViews>
  <sheets>
    <sheet name="Sommaire" sheetId="8" r:id="rId1"/>
    <sheet name="Dettes - CORRA" sheetId="16" r:id="rId2"/>
    <sheet name="Dettes - Prime et Partiel" sheetId="24" r:id="rId3"/>
    <sheet name="Swaps" sheetId="15" r:id="rId4"/>
    <sheet name="BNC-A" sheetId="5" r:id="rId5"/>
    <sheet name="TD-A" sheetId="6" r:id="rId6"/>
    <sheet name="BMO-A" sheetId="7" r:id="rId7"/>
    <sheet name="BNC-B" sheetId="25" r:id="rId8"/>
    <sheet name="TD-B" sheetId="28" r:id="rId9"/>
    <sheet name="BMO-B" sheetId="26" r:id="rId10"/>
    <sheet name="Frais" sheetId="18" r:id="rId11"/>
    <sheet name="CORRA" sheetId="17" state="hidden" r:id="rId12"/>
    <sheet name="Market Outlook " sheetId="23" state="hidden" r:id="rId13"/>
    <sheet name="2024-12-31" sheetId="10" state="hidden" r:id="rId14"/>
  </sheets>
  <externalReferences>
    <externalReference r:id="rId15"/>
  </externalReferences>
  <definedNames>
    <definedName name="_xlnm._FilterDatabase" localSheetId="1" hidden="1">'Dettes - CORRA'!$B$4:$C$125</definedName>
    <definedName name="_xlnm._FilterDatabase" localSheetId="2" hidden="1">'Dettes - Prime et Partiel'!$C$4:$D$122</definedName>
    <definedName name="Amortization" localSheetId="12">#REF!</definedName>
    <definedName name="Amortization">#REF!</definedName>
    <definedName name="Amortization2">#REF!</definedName>
    <definedName name="Amount" localSheetId="12">#REF!</definedName>
    <definedName name="Amount">#REF!</definedName>
    <definedName name="Applicable_Margin" localSheetId="12">#REF!</definedName>
    <definedName name="Applicable_Margin">#REF!</definedName>
    <definedName name="Client" localSheetId="12">#REF!</definedName>
    <definedName name="Client">#REF!</definedName>
    <definedName name="Disclaimer1" localSheetId="4">'BNC-A'!$A$139</definedName>
    <definedName name="Disclaimer1" localSheetId="7">'BNC-B'!$A$44</definedName>
    <definedName name="Disclaimer1" localSheetId="12">#REF!</definedName>
    <definedName name="Disclaimer1">#REF!</definedName>
    <definedName name="Disclaimer2" localSheetId="4">'BNC-A'!$A$140</definedName>
    <definedName name="Disclaimer2" localSheetId="7">'BNC-B'!$A$45</definedName>
    <definedName name="Disclaimer2" localSheetId="12">#REF!</definedName>
    <definedName name="Disclaimer2">#REF!</definedName>
    <definedName name="EndDate" localSheetId="12">#REF!</definedName>
    <definedName name="EndDate">#REF!</definedName>
    <definedName name="_xlnm.Print_Titles" localSheetId="4">'BNC-A'!$16:$16</definedName>
    <definedName name="_xlnm.Print_Titles" localSheetId="7">'BNC-B'!$16:$16</definedName>
    <definedName name="StartCell" localSheetId="12">#REF!</definedName>
    <definedName name="StartCell">#REF!</definedName>
    <definedName name="Swap_Rate" localSheetId="12">#REF!</definedName>
    <definedName name="Swap_Rate">#REF!</definedName>
    <definedName name="Taux" localSheetId="4">'BNC-A'!#REF!</definedName>
    <definedName name="Taux" localSheetId="7">'BNC-B'!#REF!</definedName>
    <definedName name="Taux" localSheetId="12">#REF!</definedName>
    <definedName name="Taux">#REF!</definedName>
    <definedName name="Type" localSheetId="12">#REF!</definedName>
    <definedName name="Type">#REF!</definedName>
    <definedName name="ValueDate" localSheetId="1">#REF!</definedName>
    <definedName name="ValueDate" localSheetId="2">#REF!</definedName>
    <definedName name="ValueDate" localSheetId="12">#REF!</definedName>
    <definedName name="ValueDate" localSheetId="3">#REF!</definedName>
    <definedName name="ValueDate" localSheetId="5">#REF!</definedName>
    <definedName name="ValueDate" localSheetId="8">#REF!</definedName>
    <definedName name="ValueDate">#REF!</definedName>
    <definedName name="_xlnm.Print_Area" localSheetId="13">'2024-12-31'!$A$1:$O$43</definedName>
    <definedName name="_xlnm.Print_Area" localSheetId="4">'BNC-A'!$A$1:$I$140</definedName>
    <definedName name="_xlnm.Print_Area" localSheetId="7">'BNC-B'!$A$1:$F$45</definedName>
    <definedName name="_xlnm.Print_Area" localSheetId="1">'Dettes - CORRA'!$B$1:$W$38</definedName>
    <definedName name="_xlnm.Print_Area" localSheetId="2">'Dettes - Prime et Partiel'!$C$1:$S$35</definedName>
    <definedName name="_xlnm.Print_Area" localSheetId="0">Sommaire!$A$1:$AB$48</definedName>
    <definedName name="_xlnm.Print_Area" localSheetId="3">Swaps!$B$1:$AI$20</definedName>
    <definedName name="_xlnm.Print_Area" localSheetId="5">'TD-A'!$C$1:$R$48</definedName>
    <definedName name="_xlnm.Print_Area" localSheetId="8">'TD-B'!$C$1:$R$41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0" i="8" l="1"/>
  <c r="O11" i="16" l="1"/>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 i="16"/>
  <c r="J12" i="16"/>
  <c r="N12" i="16" l="1"/>
  <c r="C150" i="17"/>
  <c r="E29" i="10"/>
  <c r="F21" i="10"/>
  <c r="E25" i="10" s="1"/>
  <c r="F12" i="10"/>
  <c r="E12" i="10"/>
  <c r="I7" i="16" l="1"/>
  <c r="S12" i="16" l="1"/>
  <c r="V9" i="16" l="1"/>
  <c r="N17" i="28" l="1"/>
  <c r="K36" i="8" l="1"/>
  <c r="I10" i="15"/>
  <c r="H10" i="15"/>
  <c r="I15" i="15" l="1"/>
  <c r="I16" i="15" s="1"/>
  <c r="H15" i="15"/>
  <c r="H16" i="15" s="1"/>
  <c r="J17" i="28"/>
  <c r="M13" i="16"/>
  <c r="M14" i="16"/>
  <c r="M15" i="16"/>
  <c r="M16" i="16"/>
  <c r="M17" i="16"/>
  <c r="M18" i="16"/>
  <c r="M19" i="16"/>
  <c r="M20" i="16"/>
  <c r="M21" i="16"/>
  <c r="M22" i="16"/>
  <c r="M23" i="16"/>
  <c r="M24" i="16"/>
  <c r="M25" i="16"/>
  <c r="M26" i="16"/>
  <c r="M27" i="16"/>
  <c r="M28" i="16"/>
  <c r="M29" i="16"/>
  <c r="M30" i="16"/>
  <c r="M31" i="16"/>
  <c r="M32" i="16"/>
  <c r="M33" i="16"/>
  <c r="M34" i="16"/>
  <c r="M12" i="16"/>
  <c r="L12" i="16" s="1"/>
  <c r="E6" i="28"/>
  <c r="D17" i="28"/>
  <c r="T17" i="28"/>
  <c r="D18" i="28"/>
  <c r="T18" i="28"/>
  <c r="D19" i="28"/>
  <c r="T19" i="28"/>
  <c r="D20" i="28"/>
  <c r="T20" i="28"/>
  <c r="D21" i="28"/>
  <c r="T21" i="28"/>
  <c r="T41" i="28"/>
  <c r="D41" i="28"/>
  <c r="T40" i="28"/>
  <c r="D40" i="28"/>
  <c r="T39" i="28"/>
  <c r="D39" i="28"/>
  <c r="T38" i="28"/>
  <c r="D38" i="28"/>
  <c r="T37" i="28"/>
  <c r="D37" i="28"/>
  <c r="T36" i="28"/>
  <c r="D36" i="28"/>
  <c r="T35" i="28"/>
  <c r="D35" i="28"/>
  <c r="T34" i="28"/>
  <c r="D34" i="28"/>
  <c r="T33" i="28"/>
  <c r="D33" i="28"/>
  <c r="T32" i="28"/>
  <c r="D32" i="28"/>
  <c r="T31" i="28"/>
  <c r="D31" i="28"/>
  <c r="T30" i="28"/>
  <c r="D30" i="28"/>
  <c r="T29" i="28"/>
  <c r="D29" i="28"/>
  <c r="T28" i="28"/>
  <c r="D28" i="28"/>
  <c r="T27" i="28"/>
  <c r="D27" i="28"/>
  <c r="T26" i="28"/>
  <c r="D26" i="28"/>
  <c r="T25" i="28"/>
  <c r="D25" i="28"/>
  <c r="T24" i="28"/>
  <c r="D24" i="28"/>
  <c r="T23" i="28"/>
  <c r="D23" i="28"/>
  <c r="T22" i="28"/>
  <c r="D22" i="28"/>
  <c r="Q16" i="28"/>
  <c r="I16" i="28"/>
  <c r="F16" i="28"/>
  <c r="A16" i="28"/>
  <c r="E3" i="28"/>
  <c r="V17" i="28" s="1"/>
  <c r="P34" i="26"/>
  <c r="C6" i="26"/>
  <c r="F34" i="26"/>
  <c r="D10" i="26"/>
  <c r="D10" i="7"/>
  <c r="C5" i="26"/>
  <c r="J10" i="26" s="1"/>
  <c r="O34" i="26"/>
  <c r="O33" i="26"/>
  <c r="F33" i="26"/>
  <c r="O32" i="26"/>
  <c r="F32" i="26"/>
  <c r="O31" i="26"/>
  <c r="F31" i="26"/>
  <c r="O30" i="26"/>
  <c r="J30" i="26"/>
  <c r="F30" i="26"/>
  <c r="O29" i="26"/>
  <c r="F29" i="26"/>
  <c r="O28" i="26"/>
  <c r="F28" i="26"/>
  <c r="O27" i="26"/>
  <c r="F27" i="26"/>
  <c r="O26" i="26"/>
  <c r="F26" i="26"/>
  <c r="O25" i="26"/>
  <c r="F25" i="26"/>
  <c r="O24" i="26"/>
  <c r="F24" i="26"/>
  <c r="O23" i="26"/>
  <c r="F23" i="26"/>
  <c r="O22" i="26"/>
  <c r="F22" i="26"/>
  <c r="O21" i="26"/>
  <c r="F21" i="26"/>
  <c r="O20" i="26"/>
  <c r="F20" i="26"/>
  <c r="O19" i="26"/>
  <c r="F19" i="26"/>
  <c r="O18" i="26"/>
  <c r="J18" i="26"/>
  <c r="F18" i="26"/>
  <c r="O17" i="26"/>
  <c r="F17" i="26"/>
  <c r="O16" i="26"/>
  <c r="J16" i="26"/>
  <c r="F16" i="26"/>
  <c r="O15" i="26"/>
  <c r="F15" i="26"/>
  <c r="O14" i="26"/>
  <c r="F14" i="26"/>
  <c r="O13" i="26"/>
  <c r="F13" i="26"/>
  <c r="O12" i="26"/>
  <c r="F12" i="26"/>
  <c r="O11" i="26"/>
  <c r="F11" i="26"/>
  <c r="O10" i="26"/>
  <c r="P10" i="26"/>
  <c r="F10" i="26"/>
  <c r="L10" i="26" l="1"/>
  <c r="M10" i="26" s="1"/>
  <c r="U17" i="28"/>
  <c r="W17" i="28" s="1"/>
  <c r="K17" i="28"/>
  <c r="M17" i="28"/>
  <c r="O17" i="28" s="1"/>
  <c r="F19" i="28"/>
  <c r="F18" i="28"/>
  <c r="F34" i="28"/>
  <c r="F37" i="28"/>
  <c r="F21" i="28"/>
  <c r="F17" i="28"/>
  <c r="A17" i="28" s="1"/>
  <c r="F20" i="28"/>
  <c r="F31" i="28"/>
  <c r="F28" i="28"/>
  <c r="F25" i="28"/>
  <c r="F22" i="28"/>
  <c r="F40" i="28"/>
  <c r="F23" i="28"/>
  <c r="F26" i="28"/>
  <c r="F29" i="28"/>
  <c r="F32" i="28"/>
  <c r="F35" i="28"/>
  <c r="F38" i="28"/>
  <c r="F41" i="28"/>
  <c r="F24" i="28"/>
  <c r="F27" i="28"/>
  <c r="F30" i="28"/>
  <c r="F33" i="28"/>
  <c r="F36" i="28"/>
  <c r="F39" i="28"/>
  <c r="J28" i="26"/>
  <c r="J32" i="26"/>
  <c r="J13" i="26"/>
  <c r="J25" i="26"/>
  <c r="J15" i="26"/>
  <c r="J27" i="26"/>
  <c r="J22" i="26"/>
  <c r="J34" i="26"/>
  <c r="J17" i="26"/>
  <c r="J29" i="26"/>
  <c r="J12" i="26"/>
  <c r="J24" i="26"/>
  <c r="J19" i="26"/>
  <c r="J14" i="26"/>
  <c r="J26" i="26"/>
  <c r="J31" i="26"/>
  <c r="J21" i="26"/>
  <c r="J33" i="26"/>
  <c r="J11" i="26"/>
  <c r="J23" i="26"/>
  <c r="J20" i="26"/>
  <c r="E17" i="28" l="1"/>
  <c r="A18" i="28"/>
  <c r="E18" i="28" l="1"/>
  <c r="A19" i="28"/>
  <c r="N18" i="28"/>
  <c r="I17" i="28"/>
  <c r="Q17" i="28"/>
  <c r="J18" i="28"/>
  <c r="K18" i="28"/>
  <c r="M18" i="28"/>
  <c r="O18" i="28" s="1"/>
  <c r="V18" i="28"/>
  <c r="U18" i="28"/>
  <c r="W18" i="28" s="1"/>
  <c r="Q18" i="28" l="1"/>
  <c r="E19" i="28"/>
  <c r="A20" i="28"/>
  <c r="K19" i="28"/>
  <c r="N19" i="28"/>
  <c r="I18" i="28"/>
  <c r="V19" i="28"/>
  <c r="J19" i="28"/>
  <c r="U19" i="28"/>
  <c r="W19" i="28" s="1"/>
  <c r="M19" i="28"/>
  <c r="O19" i="28" s="1"/>
  <c r="Q19" i="28" l="1"/>
  <c r="A21" i="28"/>
  <c r="E21" i="28" s="1"/>
  <c r="I21" i="28" s="1"/>
  <c r="E20" i="28"/>
  <c r="J20" i="28"/>
  <c r="K20" i="28"/>
  <c r="N20" i="28"/>
  <c r="I19" i="28"/>
  <c r="V20" i="28"/>
  <c r="U20" i="28"/>
  <c r="W20" i="28" s="1"/>
  <c r="M20" i="28"/>
  <c r="O20" i="28" s="1"/>
  <c r="Q20" i="28" l="1"/>
  <c r="I20" i="28"/>
  <c r="J21" i="28"/>
  <c r="K21" i="28"/>
  <c r="M21" i="28"/>
  <c r="N21" i="28"/>
  <c r="V21" i="28"/>
  <c r="U21" i="28"/>
  <c r="W21" i="28" s="1"/>
  <c r="A22" i="28"/>
  <c r="O21" i="28" l="1"/>
  <c r="Q21" i="28" s="1"/>
  <c r="N22" i="28"/>
  <c r="K22" i="28"/>
  <c r="M22" i="28"/>
  <c r="O22" i="28" s="1"/>
  <c r="V22" i="28"/>
  <c r="U22" i="28"/>
  <c r="W22" i="28" s="1"/>
  <c r="A23" i="28"/>
  <c r="E22" i="28"/>
  <c r="N23" i="28" l="1"/>
  <c r="I22" i="28"/>
  <c r="K23" i="28"/>
  <c r="U23" i="28"/>
  <c r="V23" i="28"/>
  <c r="M23" i="28"/>
  <c r="O23" i="28" s="1"/>
  <c r="J22" i="28"/>
  <c r="Q22" i="28" s="1"/>
  <c r="A24" i="28"/>
  <c r="E23" i="28"/>
  <c r="I23" i="28" l="1"/>
  <c r="N24" i="28"/>
  <c r="M24" i="28"/>
  <c r="O24" i="28" s="1"/>
  <c r="K24" i="28"/>
  <c r="V24" i="28"/>
  <c r="U24" i="28"/>
  <c r="W23" i="28"/>
  <c r="A25" i="28"/>
  <c r="E24" i="28"/>
  <c r="J23" i="28"/>
  <c r="Q23" i="28" s="1"/>
  <c r="W24" i="28" l="1"/>
  <c r="I24" i="28"/>
  <c r="N25" i="28"/>
  <c r="K25" i="28"/>
  <c r="U25" i="28"/>
  <c r="M25" i="28"/>
  <c r="O25" i="28" s="1"/>
  <c r="V25" i="28"/>
  <c r="E25" i="28"/>
  <c r="A26" i="28"/>
  <c r="J24" i="28"/>
  <c r="Q24" i="28" s="1"/>
  <c r="A27" i="28" l="1"/>
  <c r="E26" i="28"/>
  <c r="N26" i="28"/>
  <c r="K26" i="28"/>
  <c r="I25" i="28"/>
  <c r="J26" i="28"/>
  <c r="M26" i="28"/>
  <c r="O26" i="28" s="1"/>
  <c r="V26" i="28"/>
  <c r="U26" i="28"/>
  <c r="W25" i="28"/>
  <c r="J25" i="28"/>
  <c r="Q25" i="28" s="1"/>
  <c r="W26" i="28" l="1"/>
  <c r="Q26" i="28"/>
  <c r="N27" i="28"/>
  <c r="I26" i="28"/>
  <c r="M27" i="28"/>
  <c r="O27" i="28" s="1"/>
  <c r="K27" i="28"/>
  <c r="U27" i="28"/>
  <c r="V27" i="28"/>
  <c r="A28" i="28"/>
  <c r="E27" i="28"/>
  <c r="J27" i="28" s="1"/>
  <c r="Q27" i="28" s="1"/>
  <c r="A29" i="28" l="1"/>
  <c r="E28" i="28"/>
  <c r="I27" i="28"/>
  <c r="N28" i="28"/>
  <c r="J28" i="28"/>
  <c r="K28" i="28"/>
  <c r="U28" i="28"/>
  <c r="M28" i="28"/>
  <c r="O28" i="28" s="1"/>
  <c r="V28" i="28"/>
  <c r="W27" i="28"/>
  <c r="W28" i="28" l="1"/>
  <c r="Q28" i="28"/>
  <c r="N29" i="28"/>
  <c r="I28" i="28"/>
  <c r="K29" i="28"/>
  <c r="U29" i="28"/>
  <c r="V29" i="28"/>
  <c r="M29" i="28"/>
  <c r="O29" i="28" s="1"/>
  <c r="A30" i="28"/>
  <c r="E29" i="28"/>
  <c r="I29" i="28" l="1"/>
  <c r="N30" i="28"/>
  <c r="K30" i="28"/>
  <c r="M30" i="28"/>
  <c r="O30" i="28" s="1"/>
  <c r="U30" i="28"/>
  <c r="V30" i="28"/>
  <c r="J29" i="28"/>
  <c r="Q29" i="28" s="1"/>
  <c r="A31" i="28"/>
  <c r="E30" i="28"/>
  <c r="W29" i="28"/>
  <c r="W30" i="28" l="1"/>
  <c r="I30" i="28"/>
  <c r="N31" i="28"/>
  <c r="K31" i="28"/>
  <c r="V31" i="28"/>
  <c r="M31" i="28"/>
  <c r="O31" i="28" s="1"/>
  <c r="U31" i="28"/>
  <c r="W31" i="28" s="1"/>
  <c r="E31" i="28"/>
  <c r="A32" i="28"/>
  <c r="J30" i="28"/>
  <c r="Q30" i="28" s="1"/>
  <c r="E32" i="28" l="1"/>
  <c r="A33" i="28"/>
  <c r="N32" i="28"/>
  <c r="K32" i="28"/>
  <c r="J32" i="28"/>
  <c r="I31" i="28"/>
  <c r="M32" i="28"/>
  <c r="O32" i="28" s="1"/>
  <c r="U32" i="28"/>
  <c r="V32" i="28"/>
  <c r="J31" i="28"/>
  <c r="Q31" i="28" s="1"/>
  <c r="W32" i="28" l="1"/>
  <c r="Q32" i="28"/>
  <c r="A34" i="28"/>
  <c r="E33" i="28"/>
  <c r="I32" i="28"/>
  <c r="N33" i="28"/>
  <c r="J33" i="28"/>
  <c r="K33" i="28"/>
  <c r="M33" i="28"/>
  <c r="O33" i="28" s="1"/>
  <c r="U33" i="28"/>
  <c r="V33" i="28"/>
  <c r="W33" i="28" l="1"/>
  <c r="Q33" i="28"/>
  <c r="I33" i="28"/>
  <c r="N34" i="28"/>
  <c r="K34" i="28"/>
  <c r="V34" i="28"/>
  <c r="M34" i="28"/>
  <c r="O34" i="28" s="1"/>
  <c r="U34" i="28"/>
  <c r="W34" i="28" s="1"/>
  <c r="A35" i="28"/>
  <c r="E34" i="28"/>
  <c r="N35" i="28" l="1"/>
  <c r="K35" i="28"/>
  <c r="I34" i="28"/>
  <c r="V35" i="28"/>
  <c r="U35" i="28"/>
  <c r="M35" i="28"/>
  <c r="O35" i="28" s="1"/>
  <c r="E35" i="28"/>
  <c r="J35" i="28" s="1"/>
  <c r="Q35" i="28" s="1"/>
  <c r="A36" i="28"/>
  <c r="J34" i="28"/>
  <c r="Q34" i="28" s="1"/>
  <c r="W35" i="28" l="1"/>
  <c r="A37" i="28"/>
  <c r="E36" i="28"/>
  <c r="I35" i="28"/>
  <c r="N36" i="28"/>
  <c r="M36" i="28"/>
  <c r="O36" i="28" s="1"/>
  <c r="K36" i="28"/>
  <c r="J36" i="28"/>
  <c r="Q36" i="28" s="1"/>
  <c r="V36" i="28"/>
  <c r="U36" i="28"/>
  <c r="W36" i="28" s="1"/>
  <c r="I36" i="28" l="1"/>
  <c r="N37" i="28"/>
  <c r="K37" i="28"/>
  <c r="V37" i="28"/>
  <c r="M37" i="28"/>
  <c r="O37" i="28" s="1"/>
  <c r="U37" i="28"/>
  <c r="W37" i="28" s="1"/>
  <c r="A38" i="28"/>
  <c r="E37" i="28"/>
  <c r="N38" i="28" l="1"/>
  <c r="K38" i="28"/>
  <c r="I37" i="28"/>
  <c r="M38" i="28"/>
  <c r="O38" i="28" s="1"/>
  <c r="U38" i="28"/>
  <c r="V38" i="28"/>
  <c r="A39" i="28"/>
  <c r="E38" i="28"/>
  <c r="J37" i="28"/>
  <c r="Q37" i="28" s="1"/>
  <c r="N39" i="28" l="1"/>
  <c r="I38" i="28"/>
  <c r="M39" i="28"/>
  <c r="O39" i="28" s="1"/>
  <c r="K39" i="28"/>
  <c r="V39" i="28"/>
  <c r="U39" i="28"/>
  <c r="A40" i="28"/>
  <c r="E39" i="28"/>
  <c r="W38" i="28"/>
  <c r="J38" i="28"/>
  <c r="Q38" i="28" s="1"/>
  <c r="W39" i="28" l="1"/>
  <c r="A41" i="28"/>
  <c r="E40" i="28"/>
  <c r="I39" i="28"/>
  <c r="N40" i="28"/>
  <c r="K40" i="28"/>
  <c r="J40" i="28"/>
  <c r="V40" i="28"/>
  <c r="M40" i="28"/>
  <c r="O40" i="28" s="1"/>
  <c r="U40" i="28"/>
  <c r="W40" i="28" s="1"/>
  <c r="J39" i="28"/>
  <c r="Q39" i="28" s="1"/>
  <c r="Q40" i="28" l="1"/>
  <c r="N41" i="28"/>
  <c r="I40" i="28"/>
  <c r="V41" i="28"/>
  <c r="E41" i="28"/>
  <c r="I41" i="28" l="1"/>
  <c r="J41" i="28"/>
  <c r="X37" i="8" l="1"/>
  <c r="W37" i="8"/>
  <c r="U37" i="8"/>
  <c r="V37" i="8" s="1"/>
  <c r="T37" i="8"/>
  <c r="S37" i="8"/>
  <c r="Q37" i="8"/>
  <c r="X36" i="8"/>
  <c r="W36" i="8"/>
  <c r="U36" i="8"/>
  <c r="V36" i="8" s="1"/>
  <c r="T36" i="8"/>
  <c r="S36" i="8"/>
  <c r="Q36" i="8"/>
  <c r="Y37" i="8"/>
  <c r="Z37" i="8" s="1"/>
  <c r="AA37" i="8"/>
  <c r="Y36" i="8"/>
  <c r="AA36" i="8"/>
  <c r="W23" i="8"/>
  <c r="Z23" i="8" s="1"/>
  <c r="S23" i="8"/>
  <c r="Y24" i="8"/>
  <c r="AA24" i="8"/>
  <c r="Y22" i="8"/>
  <c r="X22" i="8"/>
  <c r="W22" i="8"/>
  <c r="U22" i="8"/>
  <c r="T22" i="8"/>
  <c r="S22" i="8"/>
  <c r="Y30" i="8"/>
  <c r="X30" i="8"/>
  <c r="W30" i="8"/>
  <c r="U30" i="8"/>
  <c r="T30" i="8"/>
  <c r="S30" i="8"/>
  <c r="Y17" i="8"/>
  <c r="X17" i="8"/>
  <c r="W17" i="8"/>
  <c r="U17" i="8"/>
  <c r="T17" i="8"/>
  <c r="S17" i="8"/>
  <c r="V17" i="8" s="1"/>
  <c r="Q17" i="8"/>
  <c r="Y16" i="8"/>
  <c r="X16" i="8"/>
  <c r="W16" i="8"/>
  <c r="U16" i="8"/>
  <c r="T16" i="8"/>
  <c r="S16" i="8"/>
  <c r="V16" i="8" s="1"/>
  <c r="Q16" i="8"/>
  <c r="Y13" i="8"/>
  <c r="Z13" i="8" s="1"/>
  <c r="X13" i="8"/>
  <c r="W13" i="8"/>
  <c r="U13" i="8"/>
  <c r="T13" i="8"/>
  <c r="S13" i="8"/>
  <c r="Q13" i="8"/>
  <c r="Y11" i="8"/>
  <c r="X11" i="8"/>
  <c r="W11" i="8"/>
  <c r="U11" i="8"/>
  <c r="T11" i="8"/>
  <c r="V11" i="8"/>
  <c r="S11" i="8"/>
  <c r="Q11" i="8"/>
  <c r="Z36" i="8"/>
  <c r="Z30" i="8"/>
  <c r="Z29" i="8"/>
  <c r="Z26" i="8"/>
  <c r="Z24" i="8"/>
  <c r="Z11" i="8"/>
  <c r="V30" i="8"/>
  <c r="V29" i="8"/>
  <c r="V26" i="8"/>
  <c r="V24" i="8"/>
  <c r="V23" i="8"/>
  <c r="V13" i="8"/>
  <c r="I24" i="8"/>
  <c r="F14" i="18"/>
  <c r="E14" i="18"/>
  <c r="E11" i="18"/>
  <c r="F11" i="18"/>
  <c r="H11" i="18"/>
  <c r="E12" i="18"/>
  <c r="F12" i="18"/>
  <c r="H12" i="18" s="1"/>
  <c r="E13" i="18"/>
  <c r="F13" i="18"/>
  <c r="H13" i="18" s="1"/>
  <c r="E4" i="18"/>
  <c r="H4" i="18" s="1"/>
  <c r="E5" i="18"/>
  <c r="E6" i="18"/>
  <c r="E7" i="18"/>
  <c r="E8" i="18"/>
  <c r="E9" i="18"/>
  <c r="E10" i="18"/>
  <c r="Z16" i="8" l="1"/>
  <c r="V22" i="8"/>
  <c r="Z22" i="8"/>
  <c r="Z17" i="8"/>
  <c r="H14" i="18"/>
  <c r="D10" i="15" l="1"/>
  <c r="E10" i="15"/>
  <c r="F10" i="15"/>
  <c r="J11" i="15"/>
  <c r="J9" i="15"/>
  <c r="G16" i="15"/>
  <c r="G10" i="15"/>
  <c r="J10" i="15" s="1"/>
  <c r="J19" i="25"/>
  <c r="J20" i="25"/>
  <c r="J21" i="25"/>
  <c r="J22" i="25"/>
  <c r="J23" i="25"/>
  <c r="J24" i="25"/>
  <c r="J25" i="25"/>
  <c r="J26" i="25"/>
  <c r="J27" i="25"/>
  <c r="J28" i="25"/>
  <c r="J29" i="25"/>
  <c r="J30" i="25"/>
  <c r="J31" i="25"/>
  <c r="J32" i="25"/>
  <c r="J33" i="25"/>
  <c r="J34" i="25"/>
  <c r="J35" i="25"/>
  <c r="J36" i="25"/>
  <c r="J37" i="25"/>
  <c r="J38" i="25"/>
  <c r="J39" i="25"/>
  <c r="J40" i="25"/>
  <c r="J41" i="25"/>
  <c r="J42" i="25"/>
  <c r="J18" i="25"/>
  <c r="M18" i="5"/>
  <c r="M17" i="5"/>
  <c r="I18" i="25"/>
  <c r="G17" i="25"/>
  <c r="G18" i="25"/>
  <c r="C17" i="25"/>
  <c r="C19" i="25"/>
  <c r="C20" i="25"/>
  <c r="C21" i="25"/>
  <c r="C22" i="25"/>
  <c r="C23" i="25"/>
  <c r="C24" i="25"/>
  <c r="C25" i="25"/>
  <c r="C26" i="25"/>
  <c r="G26" i="25" s="1"/>
  <c r="C27" i="25"/>
  <c r="G27" i="25" s="1"/>
  <c r="C28" i="25"/>
  <c r="G28" i="25" s="1"/>
  <c r="C29" i="25"/>
  <c r="G29" i="25" s="1"/>
  <c r="C30" i="25"/>
  <c r="G30" i="25" s="1"/>
  <c r="C31" i="25"/>
  <c r="C32" i="25"/>
  <c r="C33" i="25"/>
  <c r="C34" i="25"/>
  <c r="C35" i="25"/>
  <c r="C36" i="25"/>
  <c r="C37" i="25"/>
  <c r="C38" i="25"/>
  <c r="G38" i="25" s="1"/>
  <c r="C39" i="25"/>
  <c r="G39" i="25" s="1"/>
  <c r="C40" i="25"/>
  <c r="G40" i="25" s="1"/>
  <c r="C41" i="25"/>
  <c r="G41" i="25" s="1"/>
  <c r="C18" i="25"/>
  <c r="B41" i="25"/>
  <c r="B40" i="25"/>
  <c r="B39" i="25"/>
  <c r="B38" i="25"/>
  <c r="B37" i="25"/>
  <c r="B36" i="25"/>
  <c r="B35" i="25"/>
  <c r="B34" i="25"/>
  <c r="B33" i="25"/>
  <c r="B32" i="25"/>
  <c r="B31" i="25"/>
  <c r="B30" i="25"/>
  <c r="B29" i="25"/>
  <c r="B28" i="25"/>
  <c r="B27" i="25"/>
  <c r="B26" i="25"/>
  <c r="B25" i="25"/>
  <c r="B24" i="25"/>
  <c r="B23" i="25"/>
  <c r="B22" i="25"/>
  <c r="B21" i="25"/>
  <c r="B20" i="25"/>
  <c r="B19" i="25"/>
  <c r="B18" i="25"/>
  <c r="L17" i="5"/>
  <c r="G19" i="25"/>
  <c r="G20" i="25"/>
  <c r="G21" i="25"/>
  <c r="G22" i="25"/>
  <c r="G23" i="25"/>
  <c r="G24" i="25"/>
  <c r="G25" i="25"/>
  <c r="G31" i="25"/>
  <c r="G32" i="25"/>
  <c r="G33" i="25"/>
  <c r="G34" i="25"/>
  <c r="G35" i="25"/>
  <c r="G36" i="25"/>
  <c r="G37" i="25"/>
  <c r="G17" i="5"/>
  <c r="F18" i="25"/>
  <c r="I41" i="25" l="1"/>
  <c r="I40" i="25"/>
  <c r="I37" i="25"/>
  <c r="I36" i="25"/>
  <c r="I32" i="25"/>
  <c r="I28" i="25"/>
  <c r="I25" i="25"/>
  <c r="I24" i="25"/>
  <c r="I20" i="25"/>
  <c r="N26" i="6"/>
  <c r="P36" i="8"/>
  <c r="O36" i="8"/>
  <c r="O37" i="8"/>
  <c r="M36" i="8"/>
  <c r="L36" i="8"/>
  <c r="R37" i="8"/>
  <c r="P37" i="8"/>
  <c r="M37" i="8"/>
  <c r="AA17" i="8"/>
  <c r="P17" i="8"/>
  <c r="O17" i="8"/>
  <c r="R17" i="8" s="1"/>
  <c r="M17" i="8"/>
  <c r="AA16" i="8"/>
  <c r="P16" i="8"/>
  <c r="O16" i="8"/>
  <c r="M16" i="8"/>
  <c r="L16" i="8"/>
  <c r="K16" i="8"/>
  <c r="R13" i="8"/>
  <c r="P13" i="8"/>
  <c r="O13" i="8"/>
  <c r="M13" i="8"/>
  <c r="K12" i="8"/>
  <c r="P11" i="8"/>
  <c r="O11" i="8"/>
  <c r="R36" i="8"/>
  <c r="R29" i="8"/>
  <c r="R26" i="8"/>
  <c r="R24" i="8"/>
  <c r="F42" i="25"/>
  <c r="G42" i="25"/>
  <c r="F41" i="25"/>
  <c r="F40" i="25"/>
  <c r="F39" i="25"/>
  <c r="F38" i="25"/>
  <c r="F37" i="25"/>
  <c r="F36" i="25"/>
  <c r="F35" i="25"/>
  <c r="F34" i="25"/>
  <c r="F33" i="25"/>
  <c r="F32" i="25"/>
  <c r="F31" i="25"/>
  <c r="F30" i="25"/>
  <c r="F29" i="25"/>
  <c r="F28" i="25"/>
  <c r="F27" i="25"/>
  <c r="F26" i="25"/>
  <c r="F25" i="25"/>
  <c r="F24" i="25"/>
  <c r="F23" i="25"/>
  <c r="F22" i="25"/>
  <c r="F21" i="25"/>
  <c r="I21" i="25"/>
  <c r="F20" i="25"/>
  <c r="F19" i="25"/>
  <c r="D16" i="25"/>
  <c r="R11" i="8" l="1"/>
  <c r="I39" i="25"/>
  <c r="I27" i="25"/>
  <c r="I22" i="25"/>
  <c r="I33" i="25"/>
  <c r="I29" i="25"/>
  <c r="I30" i="25"/>
  <c r="I19" i="25"/>
  <c r="I31" i="25"/>
  <c r="I34" i="25"/>
  <c r="I26" i="25"/>
  <c r="I23" i="25"/>
  <c r="I35" i="25"/>
  <c r="I38" i="25"/>
  <c r="R16" i="8"/>
  <c r="O23" i="8"/>
  <c r="R23" i="8" s="1"/>
  <c r="R22" i="8" s="1"/>
  <c r="P22" i="8" l="1"/>
  <c r="Q22" i="8"/>
  <c r="O22" i="8"/>
  <c r="L22" i="8"/>
  <c r="M22" i="8"/>
  <c r="N24" i="8"/>
  <c r="F10" i="18"/>
  <c r="H10" i="18" s="1"/>
  <c r="F9" i="18"/>
  <c r="H9" i="18" s="1"/>
  <c r="F8" i="18"/>
  <c r="H8" i="18" s="1"/>
  <c r="L37" i="8" l="1"/>
  <c r="K37" i="8"/>
  <c r="H13" i="8"/>
  <c r="J30" i="8"/>
  <c r="H37" i="8"/>
  <c r="H36" i="8"/>
  <c r="I37" i="8"/>
  <c r="I36" i="8"/>
  <c r="J21" i="5"/>
  <c r="I21" i="5"/>
  <c r="I22" i="8"/>
  <c r="F22" i="8"/>
  <c r="H22" i="8"/>
  <c r="E22" i="8"/>
  <c r="I15" i="8"/>
  <c r="I17" i="8"/>
  <c r="M6" i="18"/>
  <c r="K23" i="8"/>
  <c r="N11" i="16"/>
  <c r="R8" i="24"/>
  <c r="K8" i="24"/>
  <c r="J8" i="24"/>
  <c r="M8" i="24"/>
  <c r="O8" i="24" s="1"/>
  <c r="P8" i="24" s="1"/>
  <c r="E123" i="17"/>
  <c r="E150" i="17"/>
  <c r="E149" i="17"/>
  <c r="E148" i="17"/>
  <c r="E147" i="17"/>
  <c r="E146" i="17"/>
  <c r="E145" i="17"/>
  <c r="E144" i="17"/>
  <c r="E143" i="17"/>
  <c r="E142" i="17"/>
  <c r="E141" i="17"/>
  <c r="E140" i="17"/>
  <c r="E139" i="17"/>
  <c r="E138" i="17"/>
  <c r="E137" i="17"/>
  <c r="E136" i="17"/>
  <c r="E135" i="17"/>
  <c r="E134" i="17"/>
  <c r="E133" i="17"/>
  <c r="E132" i="17"/>
  <c r="E131" i="17"/>
  <c r="E130" i="17"/>
  <c r="E129" i="17"/>
  <c r="E128" i="17"/>
  <c r="E127" i="17"/>
  <c r="E126" i="17"/>
  <c r="E125" i="17"/>
  <c r="E124" i="17"/>
  <c r="E122" i="17"/>
  <c r="E121" i="17"/>
  <c r="E120" i="17"/>
  <c r="M7" i="24"/>
  <c r="D8" i="24"/>
  <c r="Q10" i="16"/>
  <c r="Q11" i="16" s="1"/>
  <c r="F7" i="24"/>
  <c r="C141" i="17"/>
  <c r="D7" i="24"/>
  <c r="C149" i="17"/>
  <c r="C148" i="17"/>
  <c r="C147" i="17"/>
  <c r="C146" i="17"/>
  <c r="C145" i="17"/>
  <c r="C144" i="17"/>
  <c r="C143" i="17"/>
  <c r="C142" i="17"/>
  <c r="C140" i="17"/>
  <c r="C139" i="17"/>
  <c r="C138" i="17"/>
  <c r="C137" i="17"/>
  <c r="C136" i="17"/>
  <c r="C135" i="17"/>
  <c r="C134" i="17"/>
  <c r="C133" i="17"/>
  <c r="C132" i="17"/>
  <c r="C131" i="17"/>
  <c r="C130" i="17"/>
  <c r="C129" i="17"/>
  <c r="C128" i="17"/>
  <c r="C127" i="17"/>
  <c r="C126" i="17"/>
  <c r="C125" i="17"/>
  <c r="C124" i="17"/>
  <c r="C123" i="17"/>
  <c r="C122" i="17"/>
  <c r="C121" i="17"/>
  <c r="C120" i="17"/>
  <c r="N23" i="8" l="1"/>
  <c r="K22" i="8"/>
  <c r="J24" i="8"/>
  <c r="M9" i="24"/>
  <c r="S11" i="16"/>
  <c r="N22" i="8" l="1"/>
  <c r="AA23" i="8"/>
  <c r="AA22" i="8" s="1"/>
  <c r="S7" i="16"/>
  <c r="I12" i="8" l="1"/>
  <c r="N26" i="8" l="1"/>
  <c r="P30" i="8"/>
  <c r="Q30" i="8"/>
  <c r="R30" i="8" s="1"/>
  <c r="O30" i="8"/>
  <c r="AA30" i="8" l="1"/>
  <c r="M30" i="8"/>
  <c r="AA25" i="8"/>
  <c r="R9" i="24" l="1"/>
  <c r="J7" i="24"/>
  <c r="K7" i="24" s="1"/>
  <c r="R10" i="24"/>
  <c r="R11" i="24"/>
  <c r="R12" i="24"/>
  <c r="R13" i="24"/>
  <c r="R14" i="24"/>
  <c r="R15" i="24"/>
  <c r="R16" i="24"/>
  <c r="R17" i="24"/>
  <c r="R18" i="24"/>
  <c r="R19" i="24"/>
  <c r="R20" i="24"/>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99" i="24"/>
  <c r="R100" i="24"/>
  <c r="R101" i="24"/>
  <c r="R102" i="24"/>
  <c r="R103" i="24"/>
  <c r="R104" i="24"/>
  <c r="R105" i="24"/>
  <c r="R106" i="24"/>
  <c r="R107" i="24"/>
  <c r="R108" i="24"/>
  <c r="R109" i="24"/>
  <c r="R110" i="24"/>
  <c r="R111" i="24"/>
  <c r="R112" i="24"/>
  <c r="R113" i="24"/>
  <c r="R114" i="24"/>
  <c r="R115" i="24"/>
  <c r="R116" i="24"/>
  <c r="R117" i="24"/>
  <c r="R118" i="24"/>
  <c r="R119" i="24"/>
  <c r="R120" i="24"/>
  <c r="R121" i="24"/>
  <c r="R122" i="24"/>
  <c r="D6" i="24"/>
  <c r="O6" i="24" s="1"/>
  <c r="D122" i="24"/>
  <c r="D121" i="24"/>
  <c r="D120" i="24"/>
  <c r="D119" i="24"/>
  <c r="D118" i="24"/>
  <c r="D117" i="24"/>
  <c r="D116" i="24"/>
  <c r="D115" i="24"/>
  <c r="D114" i="24"/>
  <c r="D113" i="24"/>
  <c r="D112" i="24"/>
  <c r="D111" i="24"/>
  <c r="D110" i="24"/>
  <c r="D109" i="24"/>
  <c r="D108" i="24"/>
  <c r="D107" i="24"/>
  <c r="D106" i="24"/>
  <c r="D105" i="24"/>
  <c r="D104" i="24"/>
  <c r="D103" i="24"/>
  <c r="D102" i="24"/>
  <c r="D101" i="24"/>
  <c r="D100" i="24"/>
  <c r="D99" i="24"/>
  <c r="D98" i="24"/>
  <c r="D97" i="24"/>
  <c r="D96" i="24"/>
  <c r="D95" i="24"/>
  <c r="D94" i="24"/>
  <c r="D93" i="24"/>
  <c r="D92" i="24"/>
  <c r="D91" i="24"/>
  <c r="D90" i="24"/>
  <c r="D89" i="24"/>
  <c r="D88" i="24"/>
  <c r="D87" i="24"/>
  <c r="D86" i="24"/>
  <c r="D85" i="24"/>
  <c r="D84" i="24"/>
  <c r="D83" i="24"/>
  <c r="D82" i="24"/>
  <c r="D81" i="24"/>
  <c r="D80" i="24"/>
  <c r="D79" i="24"/>
  <c r="D78" i="24"/>
  <c r="D77" i="24"/>
  <c r="D76" i="24"/>
  <c r="D75" i="24"/>
  <c r="D74" i="24"/>
  <c r="D73" i="24"/>
  <c r="D72" i="24"/>
  <c r="D71" i="24"/>
  <c r="D70" i="24"/>
  <c r="D69" i="24"/>
  <c r="D68" i="24"/>
  <c r="D67" i="24"/>
  <c r="D66" i="24"/>
  <c r="D65" i="24"/>
  <c r="D64" i="24"/>
  <c r="D63" i="24"/>
  <c r="D62" i="24"/>
  <c r="D61" i="24"/>
  <c r="D60" i="24"/>
  <c r="D59" i="24"/>
  <c r="D58" i="24"/>
  <c r="D57" i="24"/>
  <c r="D56" i="24"/>
  <c r="D55" i="24"/>
  <c r="D54" i="24"/>
  <c r="D53" i="24"/>
  <c r="D52" i="24"/>
  <c r="D51" i="24"/>
  <c r="D50" i="24"/>
  <c r="D49" i="24"/>
  <c r="D48" i="24"/>
  <c r="D47" i="24"/>
  <c r="D46" i="24"/>
  <c r="D45" i="24"/>
  <c r="D44"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D15" i="24"/>
  <c r="D14" i="24"/>
  <c r="D13" i="24"/>
  <c r="D12" i="24"/>
  <c r="D11" i="24"/>
  <c r="D10" i="24"/>
  <c r="D9" i="24"/>
  <c r="J6" i="24" l="1"/>
  <c r="K6" i="24" s="1"/>
  <c r="P6" i="24" l="1"/>
  <c r="R6" i="24" s="1"/>
  <c r="O7" i="24" l="1"/>
  <c r="P7" i="24" l="1"/>
  <c r="R7" i="24" s="1"/>
  <c r="M10" i="24" l="1"/>
  <c r="M11" i="24" l="1"/>
  <c r="M12" i="24" l="1"/>
  <c r="M13" i="24" l="1"/>
  <c r="M14" i="24" l="1"/>
  <c r="M15" i="24" l="1"/>
  <c r="M16" i="24" l="1"/>
  <c r="M17" i="24" l="1"/>
  <c r="M18" i="24" l="1"/>
  <c r="M19" i="24" l="1"/>
  <c r="M20" i="24" l="1"/>
  <c r="M21" i="24" l="1"/>
  <c r="M22" i="24" l="1"/>
  <c r="M23" i="24" l="1"/>
  <c r="M24" i="24" l="1"/>
  <c r="M25" i="24" l="1"/>
  <c r="M26" i="24" l="1"/>
  <c r="M27" i="24" l="1"/>
  <c r="M28" i="24" l="1"/>
  <c r="M29" i="24" l="1"/>
  <c r="M30" i="24" l="1"/>
  <c r="M31" i="24" l="1"/>
  <c r="M32" i="24" l="1"/>
  <c r="M33" i="24" l="1"/>
  <c r="M34" i="24" l="1"/>
  <c r="M35" i="24" l="1"/>
  <c r="M36" i="24" l="1"/>
  <c r="M37" i="24" l="1"/>
  <c r="M38" i="24" l="1"/>
  <c r="M39" i="24" l="1"/>
  <c r="M40" i="24" l="1"/>
  <c r="M41" i="24" l="1"/>
  <c r="M42" i="24" l="1"/>
  <c r="M43" i="24" l="1"/>
  <c r="M44" i="24" l="1"/>
  <c r="M45" i="24" l="1"/>
  <c r="M46" i="24" l="1"/>
  <c r="M47" i="24" l="1"/>
  <c r="M48" i="24" l="1"/>
  <c r="M49" i="24" l="1"/>
  <c r="M50" i="24" l="1"/>
  <c r="M51" i="24" l="1"/>
  <c r="M52" i="24" l="1"/>
  <c r="M53" i="24" l="1"/>
  <c r="M54" i="24" l="1"/>
  <c r="M55" i="24" l="1"/>
  <c r="M56" i="24" l="1"/>
  <c r="M57" i="24" l="1"/>
  <c r="M58" i="24" l="1"/>
  <c r="M59" i="24" l="1"/>
  <c r="M60" i="24" l="1"/>
  <c r="M61" i="24" l="1"/>
  <c r="M62" i="24" l="1"/>
  <c r="M63" i="24" l="1"/>
  <c r="M64" i="24" l="1"/>
  <c r="M65" i="24" l="1"/>
  <c r="M66" i="24" l="1"/>
  <c r="M67" i="24" l="1"/>
  <c r="M68" i="24" l="1"/>
  <c r="M69" i="24" l="1"/>
  <c r="M70" i="24" l="1"/>
  <c r="M71" i="24" l="1"/>
  <c r="M72" i="24" l="1"/>
  <c r="M73" i="24" l="1"/>
  <c r="M74" i="24" l="1"/>
  <c r="M75" i="24" l="1"/>
  <c r="M76" i="24" l="1"/>
  <c r="M77" i="24" l="1"/>
  <c r="M78" i="24" l="1"/>
  <c r="M79" i="24" l="1"/>
  <c r="M80" i="24" l="1"/>
  <c r="M81" i="24" l="1"/>
  <c r="M82" i="24" l="1"/>
  <c r="M83" i="24" l="1"/>
  <c r="M84" i="24" l="1"/>
  <c r="M85" i="24" l="1"/>
  <c r="M86" i="24" l="1"/>
  <c r="M87" i="24" l="1"/>
  <c r="M88" i="24" l="1"/>
  <c r="M89" i="24" l="1"/>
  <c r="M90" i="24" l="1"/>
  <c r="M91" i="24" l="1"/>
  <c r="M92" i="24" l="1"/>
  <c r="M93" i="24" l="1"/>
  <c r="M94" i="24" l="1"/>
  <c r="M95" i="24" l="1"/>
  <c r="M96" i="24" l="1"/>
  <c r="M97" i="24" l="1"/>
  <c r="M98" i="24" l="1"/>
  <c r="M99" i="24" l="1"/>
  <c r="M100" i="24" l="1"/>
  <c r="M101" i="24" l="1"/>
  <c r="M102" i="24" l="1"/>
  <c r="M103" i="24" l="1"/>
  <c r="M104" i="24" l="1"/>
  <c r="M105" i="24" l="1"/>
  <c r="M106" i="24" l="1"/>
  <c r="M107" i="24" l="1"/>
  <c r="M108" i="24" l="1"/>
  <c r="M109" i="24" l="1"/>
  <c r="M110" i="24" l="1"/>
  <c r="M111" i="24" l="1"/>
  <c r="M112" i="24" l="1"/>
  <c r="M113" i="24" l="1"/>
  <c r="M114" i="24" l="1"/>
  <c r="M115" i="24" l="1"/>
  <c r="M116" i="24" l="1"/>
  <c r="M117" i="24" l="1"/>
  <c r="M118" i="24" l="1"/>
  <c r="M119" i="24" l="1"/>
  <c r="M120" i="24" l="1"/>
  <c r="M121" i="24" l="1"/>
  <c r="M122" i="24" l="1"/>
  <c r="N36" i="8" l="1"/>
  <c r="I30" i="8"/>
  <c r="H12" i="8"/>
  <c r="H30" i="8" s="1"/>
  <c r="N29" i="8"/>
  <c r="L30" i="8"/>
  <c r="N30" i="8"/>
  <c r="K30" i="8"/>
  <c r="L17" i="8"/>
  <c r="K17" i="8"/>
  <c r="N17" i="8" l="1"/>
  <c r="L14" i="7"/>
  <c r="M14" i="7" s="1"/>
  <c r="K21" i="8" s="1"/>
  <c r="C182" i="17"/>
  <c r="AB5" i="23"/>
  <c r="AB6" i="23" s="1"/>
  <c r="AB7" i="23" s="1"/>
  <c r="AB8" i="23" s="1"/>
  <c r="AB9" i="23" s="1"/>
  <c r="AB10" i="23" s="1"/>
  <c r="AB11" i="23" s="1"/>
  <c r="AB12" i="23" s="1"/>
  <c r="AB13" i="23" s="1"/>
  <c r="Q7" i="16"/>
  <c r="AC15" i="16"/>
  <c r="AC16" i="16"/>
  <c r="AC17" i="16"/>
  <c r="AC18" i="16"/>
  <c r="AC19" i="16"/>
  <c r="AC20" i="16"/>
  <c r="AC21" i="16"/>
  <c r="AC22" i="16"/>
  <c r="AC23" i="16"/>
  <c r="AC24" i="16"/>
  <c r="AC25" i="16"/>
  <c r="AC26" i="16"/>
  <c r="AC27" i="16"/>
  <c r="AC28" i="16"/>
  <c r="AC29" i="16"/>
  <c r="AC30" i="16"/>
  <c r="AC31" i="16"/>
  <c r="AC32" i="16"/>
  <c r="AC33" i="16"/>
  <c r="AC34" i="16"/>
  <c r="AC35" i="16"/>
  <c r="AC36" i="16"/>
  <c r="AC37" i="16"/>
  <c r="AC38" i="16"/>
  <c r="AC39" i="16"/>
  <c r="AC40" i="16"/>
  <c r="AC41" i="16"/>
  <c r="AC42" i="16"/>
  <c r="AC43" i="16"/>
  <c r="AC44" i="16"/>
  <c r="AC45"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C183" i="17" l="1"/>
  <c r="C184" i="17" s="1"/>
  <c r="C185" i="17" s="1"/>
  <c r="C186" i="17" s="1"/>
  <c r="C187" i="17" s="1"/>
  <c r="C188" i="17" s="1"/>
  <c r="C189" i="17" s="1"/>
  <c r="C190" i="17" s="1"/>
  <c r="C191" i="17" s="1"/>
  <c r="C192" i="17" s="1"/>
  <c r="C193" i="17" s="1"/>
  <c r="C194" i="17" s="1"/>
  <c r="C195" i="17" s="1"/>
  <c r="C196" i="17" s="1"/>
  <c r="C197" i="17" s="1"/>
  <c r="C198" i="17" s="1"/>
  <c r="C199" i="17" s="1"/>
  <c r="C200" i="17" s="1"/>
  <c r="C201" i="17" s="1"/>
  <c r="C202" i="17" s="1"/>
  <c r="C203" i="17" s="1"/>
  <c r="C204" i="17" s="1"/>
  <c r="C205" i="17" s="1"/>
  <c r="C206" i="17" s="1"/>
  <c r="C207" i="17" s="1"/>
  <c r="C208" i="17" s="1"/>
  <c r="C209" i="17" s="1"/>
  <c r="C210" i="17" s="1"/>
  <c r="C211" i="17" s="1"/>
  <c r="C212" i="17" s="1"/>
  <c r="L13" i="16"/>
  <c r="L14" i="16" s="1"/>
  <c r="M12" i="8" s="1"/>
  <c r="J12" i="8"/>
  <c r="E13" i="16" l="1"/>
  <c r="K11" i="26" s="1"/>
  <c r="C213" i="17"/>
  <c r="C214" i="17" s="1"/>
  <c r="C215" i="17" s="1"/>
  <c r="C216" i="17" s="1"/>
  <c r="C217" i="17" s="1"/>
  <c r="C218" i="17" s="1"/>
  <c r="C219" i="17" s="1"/>
  <c r="C220" i="17" s="1"/>
  <c r="C221" i="17" s="1"/>
  <c r="C222" i="17" s="1"/>
  <c r="C223" i="17" s="1"/>
  <c r="C224" i="17" s="1"/>
  <c r="C225" i="17" s="1"/>
  <c r="C226" i="17" s="1"/>
  <c r="C227" i="17" s="1"/>
  <c r="C228" i="17" s="1"/>
  <c r="C229" i="17" s="1"/>
  <c r="C230" i="17" s="1"/>
  <c r="C231" i="17" s="1"/>
  <c r="C232" i="17" s="1"/>
  <c r="C233" i="17" s="1"/>
  <c r="C234" i="17" s="1"/>
  <c r="C235" i="17" s="1"/>
  <c r="C236" i="17" s="1"/>
  <c r="C237" i="17" s="1"/>
  <c r="C238" i="17" s="1"/>
  <c r="C239" i="17" s="1"/>
  <c r="C240" i="17" s="1"/>
  <c r="E14" i="16"/>
  <c r="L12" i="8"/>
  <c r="L15" i="16"/>
  <c r="N13" i="16" l="1"/>
  <c r="D23" i="5"/>
  <c r="H23" i="6"/>
  <c r="K15" i="7"/>
  <c r="L15" i="7" s="1"/>
  <c r="M15" i="7" s="1"/>
  <c r="C241" i="17"/>
  <c r="C242" i="17" s="1"/>
  <c r="C243" i="17" s="1"/>
  <c r="C244" i="17" s="1"/>
  <c r="C245" i="17" s="1"/>
  <c r="C246" i="17" s="1"/>
  <c r="C247" i="17" s="1"/>
  <c r="C248" i="17" s="1"/>
  <c r="C249" i="17" s="1"/>
  <c r="C250" i="17" s="1"/>
  <c r="C251" i="17" s="1"/>
  <c r="C252" i="17" s="1"/>
  <c r="C253" i="17" s="1"/>
  <c r="C254" i="17" s="1"/>
  <c r="C255" i="17" s="1"/>
  <c r="C256" i="17" s="1"/>
  <c r="C257" i="17" s="1"/>
  <c r="C258" i="17" s="1"/>
  <c r="C259" i="17" s="1"/>
  <c r="C260" i="17" s="1"/>
  <c r="C261" i="17" s="1"/>
  <c r="C262" i="17" s="1"/>
  <c r="C263" i="17" s="1"/>
  <c r="C264" i="17" s="1"/>
  <c r="C265" i="17" s="1"/>
  <c r="C266" i="17" s="1"/>
  <c r="C267" i="17" s="1"/>
  <c r="C268" i="17" s="1"/>
  <c r="C269" i="17" s="1"/>
  <c r="C270" i="17" s="1"/>
  <c r="C271" i="17" s="1"/>
  <c r="C272" i="17" s="1"/>
  <c r="C273" i="17" s="1"/>
  <c r="K12" i="26"/>
  <c r="D24" i="5"/>
  <c r="H24" i="6"/>
  <c r="K16" i="7"/>
  <c r="L16" i="7" s="1"/>
  <c r="M16" i="7" s="1"/>
  <c r="L11" i="26"/>
  <c r="M11" i="26" s="1"/>
  <c r="L21" i="8" s="1"/>
  <c r="P11" i="26"/>
  <c r="N12" i="8"/>
  <c r="O12" i="8"/>
  <c r="O10" i="8" s="1"/>
  <c r="O34" i="8" s="1"/>
  <c r="L16" i="16"/>
  <c r="P12" i="8" s="1"/>
  <c r="P10" i="8" s="1"/>
  <c r="P34" i="8" s="1"/>
  <c r="E15" i="16" l="1"/>
  <c r="K13" i="26" s="1"/>
  <c r="L12" i="26"/>
  <c r="M12" i="26" s="1"/>
  <c r="M21" i="8" s="1"/>
  <c r="N21" i="8" s="1"/>
  <c r="P12" i="26"/>
  <c r="C274" i="17"/>
  <c r="C275" i="17" s="1"/>
  <c r="C276" i="17" s="1"/>
  <c r="C277" i="17" s="1"/>
  <c r="C278" i="17" s="1"/>
  <c r="C279" i="17" s="1"/>
  <c r="C280" i="17" s="1"/>
  <c r="C281" i="17" s="1"/>
  <c r="C282" i="17" s="1"/>
  <c r="C283" i="17" s="1"/>
  <c r="C284" i="17" s="1"/>
  <c r="C285" i="17" s="1"/>
  <c r="C286" i="17" s="1"/>
  <c r="C287" i="17" s="1"/>
  <c r="C288" i="17" s="1"/>
  <c r="C289" i="17" s="1"/>
  <c r="C290" i="17" s="1"/>
  <c r="C291" i="17" s="1"/>
  <c r="C292" i="17" s="1"/>
  <c r="C293" i="17" s="1"/>
  <c r="C294" i="17" s="1"/>
  <c r="C295" i="17" s="1"/>
  <c r="C296" i="17" s="1"/>
  <c r="C297" i="17" s="1"/>
  <c r="C298" i="17" s="1"/>
  <c r="C299" i="17" s="1"/>
  <c r="C300" i="17" s="1"/>
  <c r="C301" i="17" s="1"/>
  <c r="L17" i="16"/>
  <c r="Q12" i="8" s="1"/>
  <c r="H25" i="6" l="1"/>
  <c r="K17" i="7"/>
  <c r="L17" i="7" s="1"/>
  <c r="M17" i="7" s="1"/>
  <c r="D25" i="5"/>
  <c r="C302" i="17"/>
  <c r="C303" i="17" s="1"/>
  <c r="C304" i="17" s="1"/>
  <c r="C305" i="17" s="1"/>
  <c r="C306" i="17" s="1"/>
  <c r="C307" i="17" s="1"/>
  <c r="C308" i="17" s="1"/>
  <c r="C309" i="17" s="1"/>
  <c r="C310" i="17" s="1"/>
  <c r="C311" i="17" s="1"/>
  <c r="C312" i="17" s="1"/>
  <c r="C313" i="17" s="1"/>
  <c r="C314" i="17" s="1"/>
  <c r="C315" i="17" s="1"/>
  <c r="C316" i="17" s="1"/>
  <c r="C317" i="17" s="1"/>
  <c r="C318" i="17" s="1"/>
  <c r="C319" i="17" s="1"/>
  <c r="C320" i="17" s="1"/>
  <c r="C321" i="17" s="1"/>
  <c r="C322" i="17" s="1"/>
  <c r="C323" i="17" s="1"/>
  <c r="C324" i="17" s="1"/>
  <c r="C325" i="17" s="1"/>
  <c r="C326" i="17" s="1"/>
  <c r="C327" i="17" s="1"/>
  <c r="C328" i="17" s="1"/>
  <c r="C329" i="17" s="1"/>
  <c r="C330" i="17" s="1"/>
  <c r="C331" i="17" s="1"/>
  <c r="C332" i="17" s="1"/>
  <c r="L13" i="26"/>
  <c r="M13" i="26" s="1"/>
  <c r="O21" i="8" s="1"/>
  <c r="P13" i="26"/>
  <c r="E16" i="16"/>
  <c r="R12" i="8"/>
  <c r="Q10" i="8"/>
  <c r="L18" i="16"/>
  <c r="S12" i="8" s="1"/>
  <c r="S10" i="8" s="1"/>
  <c r="S34" i="8" s="1"/>
  <c r="E17" i="16" l="1"/>
  <c r="K15" i="26" s="1"/>
  <c r="H26" i="6"/>
  <c r="M26" i="6" s="1"/>
  <c r="K18" i="7"/>
  <c r="L18" i="7" s="1"/>
  <c r="M18" i="7" s="1"/>
  <c r="K14" i="26"/>
  <c r="D26" i="5"/>
  <c r="H27" i="6"/>
  <c r="K19" i="7"/>
  <c r="L19" i="7" s="1"/>
  <c r="M19" i="7" s="1"/>
  <c r="C333" i="17"/>
  <c r="C334" i="17" s="1"/>
  <c r="C335" i="17" s="1"/>
  <c r="C336" i="17" s="1"/>
  <c r="C337" i="17" s="1"/>
  <c r="C338" i="17" s="1"/>
  <c r="C339" i="17" s="1"/>
  <c r="C340" i="17" s="1"/>
  <c r="C341" i="17" s="1"/>
  <c r="C342" i="17" s="1"/>
  <c r="C343" i="17" s="1"/>
  <c r="C344" i="17" s="1"/>
  <c r="C345" i="17" s="1"/>
  <c r="C346" i="17" s="1"/>
  <c r="C347" i="17" s="1"/>
  <c r="C348" i="17" s="1"/>
  <c r="C349" i="17" s="1"/>
  <c r="C350" i="17" s="1"/>
  <c r="C351" i="17" s="1"/>
  <c r="C352" i="17" s="1"/>
  <c r="C353" i="17" s="1"/>
  <c r="C354" i="17" s="1"/>
  <c r="C355" i="17" s="1"/>
  <c r="C356" i="17" s="1"/>
  <c r="C357" i="17" s="1"/>
  <c r="C358" i="17" s="1"/>
  <c r="C359" i="17" s="1"/>
  <c r="C360" i="17" s="1"/>
  <c r="C361" i="17" s="1"/>
  <c r="C362" i="17" s="1"/>
  <c r="C363" i="17" s="1"/>
  <c r="C364" i="17" s="1"/>
  <c r="R10" i="8"/>
  <c r="R34" i="8" s="1"/>
  <c r="Q34" i="8"/>
  <c r="L19" i="16"/>
  <c r="T12" i="8" s="1"/>
  <c r="T10" i="8" s="1"/>
  <c r="T34" i="8" s="1"/>
  <c r="D27" i="5" l="1"/>
  <c r="E18" i="16"/>
  <c r="L15" i="26"/>
  <c r="M15" i="26" s="1"/>
  <c r="Q21" i="8" s="1"/>
  <c r="P15" i="26"/>
  <c r="C365" i="17"/>
  <c r="P14" i="26"/>
  <c r="L14" i="26"/>
  <c r="M14" i="26" s="1"/>
  <c r="P21" i="8" s="1"/>
  <c r="R21" i="8" s="1"/>
  <c r="L20" i="16"/>
  <c r="U12" i="8" s="1"/>
  <c r="C366" i="17" l="1"/>
  <c r="K20" i="7"/>
  <c r="L20" i="7" s="1"/>
  <c r="M20" i="7" s="1"/>
  <c r="H28" i="6"/>
  <c r="K16" i="26"/>
  <c r="D28" i="5"/>
  <c r="V12" i="8"/>
  <c r="U10" i="8"/>
  <c r="L21" i="16"/>
  <c r="W12" i="8" s="1"/>
  <c r="W10" i="8" s="1"/>
  <c r="W34" i="8" s="1"/>
  <c r="P16" i="26" l="1"/>
  <c r="L16" i="26"/>
  <c r="M16" i="26" s="1"/>
  <c r="S21" i="8" s="1"/>
  <c r="C367" i="17"/>
  <c r="C368" i="17" s="1"/>
  <c r="C369" i="17" s="1"/>
  <c r="C370" i="17" s="1"/>
  <c r="C371" i="17" s="1"/>
  <c r="C372" i="17" s="1"/>
  <c r="C373" i="17" s="1"/>
  <c r="C374" i="17" s="1"/>
  <c r="C375" i="17" s="1"/>
  <c r="C376" i="17" s="1"/>
  <c r="C377" i="17" s="1"/>
  <c r="C378" i="17" s="1"/>
  <c r="C379" i="17" s="1"/>
  <c r="C380" i="17" s="1"/>
  <c r="C381" i="17" s="1"/>
  <c r="C382" i="17" s="1"/>
  <c r="C383" i="17" s="1"/>
  <c r="C384" i="17" s="1"/>
  <c r="C385" i="17" s="1"/>
  <c r="C386" i="17" s="1"/>
  <c r="C387" i="17" s="1"/>
  <c r="C388" i="17" s="1"/>
  <c r="C389" i="17" s="1"/>
  <c r="C390" i="17" s="1"/>
  <c r="C391" i="17" s="1"/>
  <c r="C392" i="17" s="1"/>
  <c r="C393" i="17" s="1"/>
  <c r="V10" i="8"/>
  <c r="V34" i="8" s="1"/>
  <c r="U34" i="8"/>
  <c r="L22" i="16"/>
  <c r="X12" i="8" s="1"/>
  <c r="X10" i="8" s="1"/>
  <c r="X34" i="8" s="1"/>
  <c r="C394" i="17" l="1"/>
  <c r="C395" i="17" s="1"/>
  <c r="C396" i="17" s="1"/>
  <c r="C397" i="17" s="1"/>
  <c r="C398" i="17" s="1"/>
  <c r="C399" i="17" s="1"/>
  <c r="C400" i="17" s="1"/>
  <c r="C401" i="17" s="1"/>
  <c r="C402" i="17" s="1"/>
  <c r="C403" i="17" s="1"/>
  <c r="C404" i="17" s="1"/>
  <c r="C405" i="17" s="1"/>
  <c r="C406" i="17" s="1"/>
  <c r="C407" i="17" s="1"/>
  <c r="C408" i="17" s="1"/>
  <c r="C409" i="17" s="1"/>
  <c r="C410" i="17" s="1"/>
  <c r="C411" i="17" s="1"/>
  <c r="C412" i="17" s="1"/>
  <c r="C413" i="17" s="1"/>
  <c r="C414" i="17" s="1"/>
  <c r="C415" i="17" s="1"/>
  <c r="C416" i="17" s="1"/>
  <c r="C417" i="17" s="1"/>
  <c r="C418" i="17" s="1"/>
  <c r="C419" i="17" s="1"/>
  <c r="C420" i="17" s="1"/>
  <c r="C421" i="17" s="1"/>
  <c r="C422" i="17" s="1"/>
  <c r="C423" i="17" s="1"/>
  <c r="C424" i="17" s="1"/>
  <c r="E19" i="16"/>
  <c r="L23" i="16"/>
  <c r="K17" i="26" l="1"/>
  <c r="D29" i="5"/>
  <c r="K21" i="7"/>
  <c r="L21" i="7" s="1"/>
  <c r="M21" i="7" s="1"/>
  <c r="H29" i="6"/>
  <c r="E20" i="16"/>
  <c r="C425" i="17"/>
  <c r="C426" i="17" s="1"/>
  <c r="C427" i="17" s="1"/>
  <c r="C428" i="17" s="1"/>
  <c r="C429" i="17" s="1"/>
  <c r="C430" i="17" s="1"/>
  <c r="C431" i="17" s="1"/>
  <c r="C432" i="17" s="1"/>
  <c r="C433" i="17" s="1"/>
  <c r="C434" i="17" s="1"/>
  <c r="C435" i="17" s="1"/>
  <c r="C436" i="17" s="1"/>
  <c r="C437" i="17" s="1"/>
  <c r="C438" i="17" s="1"/>
  <c r="C439" i="17" s="1"/>
  <c r="C440" i="17" s="1"/>
  <c r="C441" i="17" s="1"/>
  <c r="C442" i="17" s="1"/>
  <c r="C443" i="17" s="1"/>
  <c r="C444" i="17" s="1"/>
  <c r="C445" i="17" s="1"/>
  <c r="C446" i="17" s="1"/>
  <c r="C447" i="17" s="1"/>
  <c r="C448" i="17" s="1"/>
  <c r="C449" i="17" s="1"/>
  <c r="C450" i="17" s="1"/>
  <c r="C451" i="17" s="1"/>
  <c r="C452" i="17" s="1"/>
  <c r="C453" i="17" s="1"/>
  <c r="C454" i="17" s="1"/>
  <c r="C455" i="17" s="1"/>
  <c r="Y12" i="8"/>
  <c r="AA12" i="8"/>
  <c r="L24" i="16"/>
  <c r="E21" i="16" l="1"/>
  <c r="C456" i="17"/>
  <c r="C457" i="17" s="1"/>
  <c r="C458" i="17" s="1"/>
  <c r="C459" i="17" s="1"/>
  <c r="C460" i="17" s="1"/>
  <c r="C461" i="17" s="1"/>
  <c r="C462" i="17" s="1"/>
  <c r="C463" i="17" s="1"/>
  <c r="C464" i="17" s="1"/>
  <c r="C465" i="17" s="1"/>
  <c r="C466" i="17" s="1"/>
  <c r="C467" i="17" s="1"/>
  <c r="C468" i="17" s="1"/>
  <c r="C469" i="17" s="1"/>
  <c r="C470" i="17" s="1"/>
  <c r="C471" i="17" s="1"/>
  <c r="C472" i="17" s="1"/>
  <c r="C473" i="17" s="1"/>
  <c r="C474" i="17" s="1"/>
  <c r="C475" i="17" s="1"/>
  <c r="C476" i="17" s="1"/>
  <c r="C477" i="17" s="1"/>
  <c r="C478" i="17" s="1"/>
  <c r="C479" i="17" s="1"/>
  <c r="C480" i="17" s="1"/>
  <c r="C481" i="17" s="1"/>
  <c r="C482" i="17" s="1"/>
  <c r="C483" i="17" s="1"/>
  <c r="C484" i="17" s="1"/>
  <c r="C485" i="17" s="1"/>
  <c r="D30" i="5"/>
  <c r="H30" i="6"/>
  <c r="K22" i="7"/>
  <c r="L22" i="7" s="1"/>
  <c r="M22" i="7" s="1"/>
  <c r="K18" i="26"/>
  <c r="L17" i="26"/>
  <c r="M17" i="26" s="1"/>
  <c r="T21" i="8" s="1"/>
  <c r="P17" i="26"/>
  <c r="Z12" i="8"/>
  <c r="Y10" i="8"/>
  <c r="L25" i="16"/>
  <c r="P18" i="26" l="1"/>
  <c r="L18" i="26"/>
  <c r="M18" i="26" s="1"/>
  <c r="U21" i="8" s="1"/>
  <c r="V21" i="8" s="1"/>
  <c r="E22" i="16"/>
  <c r="C486" i="17"/>
  <c r="C487" i="17" s="1"/>
  <c r="C488" i="17" s="1"/>
  <c r="C489" i="17" s="1"/>
  <c r="C490" i="17" s="1"/>
  <c r="C491" i="17" s="1"/>
  <c r="C492" i="17" s="1"/>
  <c r="C493" i="17" s="1"/>
  <c r="C494" i="17" s="1"/>
  <c r="C495" i="17" s="1"/>
  <c r="C496" i="17" s="1"/>
  <c r="C497" i="17" s="1"/>
  <c r="C498" i="17" s="1"/>
  <c r="C499" i="17" s="1"/>
  <c r="C500" i="17" s="1"/>
  <c r="C501" i="17" s="1"/>
  <c r="C502" i="17" s="1"/>
  <c r="C503" i="17" s="1"/>
  <c r="C504" i="17" s="1"/>
  <c r="C505" i="17" s="1"/>
  <c r="C506" i="17" s="1"/>
  <c r="C507" i="17" s="1"/>
  <c r="C508" i="17" s="1"/>
  <c r="C509" i="17" s="1"/>
  <c r="C510" i="17" s="1"/>
  <c r="C511" i="17" s="1"/>
  <c r="C512" i="17" s="1"/>
  <c r="C513" i="17" s="1"/>
  <c r="C514" i="17" s="1"/>
  <c r="C515" i="17" s="1"/>
  <c r="C516" i="17" s="1"/>
  <c r="C517" i="17" s="1"/>
  <c r="C518" i="17" s="1"/>
  <c r="K23" i="7"/>
  <c r="L23" i="7" s="1"/>
  <c r="M23" i="7" s="1"/>
  <c r="H31" i="6"/>
  <c r="M31" i="6" s="1"/>
  <c r="D31" i="5"/>
  <c r="K19" i="26"/>
  <c r="Z10" i="8"/>
  <c r="Z34" i="8" s="1"/>
  <c r="Y34" i="8"/>
  <c r="L26" i="16"/>
  <c r="L19" i="26" l="1"/>
  <c r="M19" i="26" s="1"/>
  <c r="P19" i="26"/>
  <c r="E23" i="16"/>
  <c r="W21" i="8"/>
  <c r="H32" i="6"/>
  <c r="K20" i="26"/>
  <c r="K24" i="7"/>
  <c r="L24" i="7" s="1"/>
  <c r="M24" i="7" s="1"/>
  <c r="D32" i="5"/>
  <c r="C519" i="17"/>
  <c r="C520" i="17" s="1"/>
  <c r="C521" i="17" s="1"/>
  <c r="C522" i="17" s="1"/>
  <c r="C523" i="17" s="1"/>
  <c r="C524" i="17" s="1"/>
  <c r="C525" i="17" s="1"/>
  <c r="C526" i="17" s="1"/>
  <c r="C527" i="17" s="1"/>
  <c r="C528" i="17" s="1"/>
  <c r="C529" i="17" s="1"/>
  <c r="C530" i="17" s="1"/>
  <c r="C531" i="17" s="1"/>
  <c r="C532" i="17" s="1"/>
  <c r="C533" i="17" s="1"/>
  <c r="C534" i="17" s="1"/>
  <c r="C535" i="17" s="1"/>
  <c r="C536" i="17" s="1"/>
  <c r="C537" i="17" s="1"/>
  <c r="C538" i="17" s="1"/>
  <c r="C539" i="17" s="1"/>
  <c r="C540" i="17" s="1"/>
  <c r="C541" i="17" s="1"/>
  <c r="C542" i="17" s="1"/>
  <c r="C543" i="17" s="1"/>
  <c r="C544" i="17" s="1"/>
  <c r="C545" i="17" s="1"/>
  <c r="C546" i="17" s="1"/>
  <c r="L27" i="16"/>
  <c r="E24" i="16" l="1"/>
  <c r="C547" i="17"/>
  <c r="C548" i="17" s="1"/>
  <c r="C549" i="17" s="1"/>
  <c r="C550" i="17" s="1"/>
  <c r="C551" i="17" s="1"/>
  <c r="C552" i="17" s="1"/>
  <c r="C553" i="17" s="1"/>
  <c r="C554" i="17" s="1"/>
  <c r="C555" i="17" s="1"/>
  <c r="C556" i="17" s="1"/>
  <c r="C557" i="17" s="1"/>
  <c r="C558" i="17" s="1"/>
  <c r="C559" i="17" s="1"/>
  <c r="C560" i="17" s="1"/>
  <c r="C561" i="17" s="1"/>
  <c r="C562" i="17" s="1"/>
  <c r="C563" i="17" s="1"/>
  <c r="C564" i="17" s="1"/>
  <c r="C565" i="17" s="1"/>
  <c r="C566" i="17" s="1"/>
  <c r="C567" i="17" s="1"/>
  <c r="C568" i="17" s="1"/>
  <c r="C569" i="17" s="1"/>
  <c r="C570" i="17" s="1"/>
  <c r="C571" i="17" s="1"/>
  <c r="C572" i="17" s="1"/>
  <c r="C573" i="17" s="1"/>
  <c r="C574" i="17" s="1"/>
  <c r="C575" i="17" s="1"/>
  <c r="C576" i="17" s="1"/>
  <c r="C577" i="17" s="1"/>
  <c r="D33" i="5"/>
  <c r="K25" i="7"/>
  <c r="L25" i="7" s="1"/>
  <c r="M25" i="7" s="1"/>
  <c r="K21" i="26"/>
  <c r="H33" i="6"/>
  <c r="M33" i="6" s="1"/>
  <c r="H34" i="6"/>
  <c r="K26" i="7"/>
  <c r="L26" i="7" s="1"/>
  <c r="M26" i="7" s="1"/>
  <c r="K22" i="26"/>
  <c r="D34" i="5"/>
  <c r="P20" i="26"/>
  <c r="L20" i="26"/>
  <c r="M20" i="26" s="1"/>
  <c r="X21" i="8" s="1"/>
  <c r="L28" i="16"/>
  <c r="L22" i="26" l="1"/>
  <c r="M22" i="26" s="1"/>
  <c r="P22" i="26"/>
  <c r="P21" i="26"/>
  <c r="L21" i="26"/>
  <c r="M21" i="26" s="1"/>
  <c r="Y21" i="8" s="1"/>
  <c r="Z21" i="8" s="1"/>
  <c r="AA21" i="8"/>
  <c r="E25" i="16"/>
  <c r="C578" i="17"/>
  <c r="C579" i="17" s="1"/>
  <c r="C580" i="17" s="1"/>
  <c r="C581" i="17" s="1"/>
  <c r="C582" i="17" s="1"/>
  <c r="C583" i="17" s="1"/>
  <c r="C584" i="17" s="1"/>
  <c r="C585" i="17" s="1"/>
  <c r="C586" i="17" s="1"/>
  <c r="C587" i="17" s="1"/>
  <c r="C588" i="17" s="1"/>
  <c r="C589" i="17" s="1"/>
  <c r="C590" i="17" s="1"/>
  <c r="C591" i="17" s="1"/>
  <c r="C592" i="17" s="1"/>
  <c r="C593" i="17" s="1"/>
  <c r="C594" i="17" s="1"/>
  <c r="C595" i="17" s="1"/>
  <c r="C596" i="17" s="1"/>
  <c r="C597" i="17" s="1"/>
  <c r="C598" i="17" s="1"/>
  <c r="C599" i="17" s="1"/>
  <c r="C600" i="17" s="1"/>
  <c r="C601" i="17" s="1"/>
  <c r="C602" i="17" s="1"/>
  <c r="C603" i="17" s="1"/>
  <c r="C604" i="17" s="1"/>
  <c r="C605" i="17" s="1"/>
  <c r="L29" i="16"/>
  <c r="E26" i="16" l="1"/>
  <c r="D36" i="5" s="1"/>
  <c r="C606" i="17"/>
  <c r="C607" i="17" s="1"/>
  <c r="C608" i="17" s="1"/>
  <c r="C609" i="17" s="1"/>
  <c r="C610" i="17" s="1"/>
  <c r="C611" i="17" s="1"/>
  <c r="C612" i="17" s="1"/>
  <c r="C613" i="17" s="1"/>
  <c r="C614" i="17" s="1"/>
  <c r="C615" i="17" s="1"/>
  <c r="C616" i="17" s="1"/>
  <c r="C617" i="17" s="1"/>
  <c r="C618" i="17" s="1"/>
  <c r="C619" i="17" s="1"/>
  <c r="C620" i="17" s="1"/>
  <c r="C621" i="17" s="1"/>
  <c r="C622" i="17" s="1"/>
  <c r="C623" i="17" s="1"/>
  <c r="C624" i="17" s="1"/>
  <c r="C625" i="17" s="1"/>
  <c r="C626" i="17" s="1"/>
  <c r="C627" i="17" s="1"/>
  <c r="C628" i="17" s="1"/>
  <c r="C629" i="17" s="1"/>
  <c r="C630" i="17" s="1"/>
  <c r="C631" i="17" s="1"/>
  <c r="C632" i="17" s="1"/>
  <c r="C633" i="17" s="1"/>
  <c r="C634" i="17" s="1"/>
  <c r="C635" i="17" s="1"/>
  <c r="C636" i="17" s="1"/>
  <c r="K28" i="7"/>
  <c r="L28" i="7" s="1"/>
  <c r="M28" i="7" s="1"/>
  <c r="K24" i="26"/>
  <c r="H36" i="6"/>
  <c r="D35" i="5"/>
  <c r="H35" i="6"/>
  <c r="K27" i="7"/>
  <c r="L27" i="7" s="1"/>
  <c r="M27" i="7" s="1"/>
  <c r="K23" i="26"/>
  <c r="L30" i="16"/>
  <c r="P24" i="26" l="1"/>
  <c r="L24" i="26"/>
  <c r="M24" i="26" s="1"/>
  <c r="E27" i="16"/>
  <c r="P23" i="26"/>
  <c r="L23" i="26"/>
  <c r="M23" i="26" s="1"/>
  <c r="C637" i="17"/>
  <c r="C638" i="17" s="1"/>
  <c r="C639" i="17" s="1"/>
  <c r="C640" i="17" s="1"/>
  <c r="C641" i="17" s="1"/>
  <c r="C642" i="17" s="1"/>
  <c r="C643" i="17" s="1"/>
  <c r="C644" i="17" s="1"/>
  <c r="C645" i="17" s="1"/>
  <c r="C646" i="17" s="1"/>
  <c r="C647" i="17" s="1"/>
  <c r="C648" i="17" s="1"/>
  <c r="C649" i="17" s="1"/>
  <c r="C650" i="17" s="1"/>
  <c r="C651" i="17" s="1"/>
  <c r="C652" i="17" s="1"/>
  <c r="C653" i="17" s="1"/>
  <c r="C654" i="17" s="1"/>
  <c r="C655" i="17" s="1"/>
  <c r="C656" i="17" s="1"/>
  <c r="C657" i="17" s="1"/>
  <c r="C658" i="17" s="1"/>
  <c r="C659" i="17" s="1"/>
  <c r="C660" i="17" s="1"/>
  <c r="C661" i="17" s="1"/>
  <c r="C662" i="17" s="1"/>
  <c r="C663" i="17" s="1"/>
  <c r="C664" i="17" s="1"/>
  <c r="C665" i="17" s="1"/>
  <c r="C666" i="17" s="1"/>
  <c r="L31" i="16"/>
  <c r="C667" i="17" l="1"/>
  <c r="C668" i="17" s="1"/>
  <c r="C669" i="17" s="1"/>
  <c r="C670" i="17" s="1"/>
  <c r="C671" i="17" s="1"/>
  <c r="C672" i="17" s="1"/>
  <c r="C673" i="17" s="1"/>
  <c r="C674" i="17" s="1"/>
  <c r="C675" i="17" s="1"/>
  <c r="C676" i="17" s="1"/>
  <c r="C677" i="17" s="1"/>
  <c r="C678" i="17" s="1"/>
  <c r="C679" i="17" s="1"/>
  <c r="C680" i="17" s="1"/>
  <c r="C681" i="17" s="1"/>
  <c r="C682" i="17" s="1"/>
  <c r="C683" i="17" s="1"/>
  <c r="C684" i="17" s="1"/>
  <c r="C685" i="17" s="1"/>
  <c r="C686" i="17" s="1"/>
  <c r="C687" i="17" s="1"/>
  <c r="C688" i="17" s="1"/>
  <c r="C689" i="17" s="1"/>
  <c r="C690" i="17" s="1"/>
  <c r="C691" i="17" s="1"/>
  <c r="C692" i="17" s="1"/>
  <c r="C693" i="17" s="1"/>
  <c r="C694" i="17" s="1"/>
  <c r="C695" i="17" s="1"/>
  <c r="C696" i="17" s="1"/>
  <c r="C697" i="17" s="1"/>
  <c r="C698" i="17" s="1"/>
  <c r="C699" i="17" s="1"/>
  <c r="E28" i="16"/>
  <c r="K29" i="7"/>
  <c r="L29" i="7" s="1"/>
  <c r="M29" i="7" s="1"/>
  <c r="H37" i="6"/>
  <c r="D37" i="5"/>
  <c r="K25" i="26"/>
  <c r="L32" i="16"/>
  <c r="E29" i="16" l="1"/>
  <c r="H39" i="6" s="1"/>
  <c r="L25" i="26"/>
  <c r="M25" i="26" s="1"/>
  <c r="P25" i="26"/>
  <c r="K31" i="7"/>
  <c r="L31" i="7" s="1"/>
  <c r="M31" i="7" s="1"/>
  <c r="K27" i="26"/>
  <c r="D39" i="5"/>
  <c r="H38" i="6"/>
  <c r="D38" i="5"/>
  <c r="K26" i="26"/>
  <c r="K30" i="7"/>
  <c r="L30" i="7" s="1"/>
  <c r="M30" i="7" s="1"/>
  <c r="C700" i="17"/>
  <c r="C701" i="17" s="1"/>
  <c r="C702" i="17" s="1"/>
  <c r="C703" i="17" s="1"/>
  <c r="C704" i="17" s="1"/>
  <c r="C705" i="17" s="1"/>
  <c r="C706" i="17" s="1"/>
  <c r="C707" i="17" s="1"/>
  <c r="C708" i="17" s="1"/>
  <c r="C709" i="17" s="1"/>
  <c r="C710" i="17" s="1"/>
  <c r="C711" i="17" s="1"/>
  <c r="C712" i="17" s="1"/>
  <c r="C713" i="17" s="1"/>
  <c r="C714" i="17" s="1"/>
  <c r="C715" i="17" s="1"/>
  <c r="C716" i="17" s="1"/>
  <c r="C717" i="17" s="1"/>
  <c r="C718" i="17" s="1"/>
  <c r="C719" i="17" s="1"/>
  <c r="C720" i="17" s="1"/>
  <c r="C721" i="17" s="1"/>
  <c r="C722" i="17" s="1"/>
  <c r="C723" i="17" s="1"/>
  <c r="C724" i="17" s="1"/>
  <c r="C725" i="17" s="1"/>
  <c r="C726" i="17" s="1"/>
  <c r="C727" i="17" s="1"/>
  <c r="C728" i="17" s="1"/>
  <c r="L33" i="16"/>
  <c r="C729" i="17" l="1"/>
  <c r="C730" i="17" s="1"/>
  <c r="C731" i="17" s="1"/>
  <c r="C732" i="17" s="1"/>
  <c r="C733" i="17" s="1"/>
  <c r="C734" i="17" s="1"/>
  <c r="C735" i="17" s="1"/>
  <c r="C736" i="17" s="1"/>
  <c r="C737" i="17" s="1"/>
  <c r="C738" i="17" s="1"/>
  <c r="C739" i="17" s="1"/>
  <c r="C740" i="17" s="1"/>
  <c r="C741" i="17" s="1"/>
  <c r="C742" i="17" s="1"/>
  <c r="C743" i="17" s="1"/>
  <c r="C744" i="17" s="1"/>
  <c r="C745" i="17" s="1"/>
  <c r="C746" i="17" s="1"/>
  <c r="C747" i="17" s="1"/>
  <c r="C748" i="17" s="1"/>
  <c r="C749" i="17" s="1"/>
  <c r="C750" i="17" s="1"/>
  <c r="C751" i="17" s="1"/>
  <c r="C752" i="17" s="1"/>
  <c r="C753" i="17" s="1"/>
  <c r="C754" i="17" s="1"/>
  <c r="C755" i="17" s="1"/>
  <c r="C756" i="17" s="1"/>
  <c r="C757" i="17" s="1"/>
  <c r="C758" i="17" s="1"/>
  <c r="L26" i="26"/>
  <c r="M26" i="26" s="1"/>
  <c r="P26" i="26"/>
  <c r="P27" i="26"/>
  <c r="L27" i="26"/>
  <c r="M27" i="26" s="1"/>
  <c r="E30" i="16"/>
  <c r="L34" i="16"/>
  <c r="K28" i="26" l="1"/>
  <c r="D40" i="5"/>
  <c r="K32" i="7"/>
  <c r="L32" i="7" s="1"/>
  <c r="M32" i="7" s="1"/>
  <c r="H40" i="6"/>
  <c r="E31" i="16"/>
  <c r="C759" i="17"/>
  <c r="C760" i="17" s="1"/>
  <c r="C761" i="17" s="1"/>
  <c r="C762" i="17" s="1"/>
  <c r="C763" i="17" s="1"/>
  <c r="C764" i="17" s="1"/>
  <c r="C765" i="17" s="1"/>
  <c r="C766" i="17" s="1"/>
  <c r="C767" i="17" s="1"/>
  <c r="C768" i="17" s="1"/>
  <c r="C769" i="17" s="1"/>
  <c r="C770" i="17" s="1"/>
  <c r="C771" i="17" s="1"/>
  <c r="C772" i="17" s="1"/>
  <c r="C773" i="17" s="1"/>
  <c r="C774" i="17" s="1"/>
  <c r="C775" i="17" s="1"/>
  <c r="C776" i="17" s="1"/>
  <c r="C777" i="17" s="1"/>
  <c r="C778" i="17" s="1"/>
  <c r="C779" i="17" s="1"/>
  <c r="C780" i="17" s="1"/>
  <c r="C781" i="17" s="1"/>
  <c r="C782" i="17" s="1"/>
  <c r="C783" i="17" s="1"/>
  <c r="C784" i="17" s="1"/>
  <c r="C785" i="17" s="1"/>
  <c r="C786" i="17" s="1"/>
  <c r="C787" i="17" s="1"/>
  <c r="C788" i="17" s="1"/>
  <c r="C789" i="17" s="1"/>
  <c r="C790" i="17" s="1"/>
  <c r="C791" i="17" s="1"/>
  <c r="L35" i="16"/>
  <c r="E32" i="16" l="1"/>
  <c r="C792" i="17"/>
  <c r="C793" i="17" s="1"/>
  <c r="C794" i="17" s="1"/>
  <c r="C795" i="17" s="1"/>
  <c r="C796" i="17" s="1"/>
  <c r="C797" i="17" s="1"/>
  <c r="C798" i="17" s="1"/>
  <c r="C799" i="17" s="1"/>
  <c r="C800" i="17" s="1"/>
  <c r="C801" i="17" s="1"/>
  <c r="C802" i="17" s="1"/>
  <c r="C803" i="17" s="1"/>
  <c r="C804" i="17" s="1"/>
  <c r="C805" i="17" s="1"/>
  <c r="C806" i="17" s="1"/>
  <c r="C807" i="17" s="1"/>
  <c r="C808" i="17" s="1"/>
  <c r="C809" i="17" s="1"/>
  <c r="C810" i="17" s="1"/>
  <c r="C811" i="17" s="1"/>
  <c r="C812" i="17" s="1"/>
  <c r="C813" i="17" s="1"/>
  <c r="C814" i="17" s="1"/>
  <c r="C815" i="17" s="1"/>
  <c r="C816" i="17" s="1"/>
  <c r="C817" i="17" s="1"/>
  <c r="C818" i="17" s="1"/>
  <c r="C819" i="17" s="1"/>
  <c r="K33" i="7"/>
  <c r="L33" i="7" s="1"/>
  <c r="M33" i="7" s="1"/>
  <c r="D41" i="5"/>
  <c r="K29" i="26"/>
  <c r="H41" i="28"/>
  <c r="H41" i="6"/>
  <c r="L28" i="26"/>
  <c r="M28" i="26" s="1"/>
  <c r="P28" i="26"/>
  <c r="L36" i="16"/>
  <c r="E33" i="16" l="1"/>
  <c r="H43" i="6" s="1"/>
  <c r="P29" i="26"/>
  <c r="L29" i="26"/>
  <c r="M29" i="26" s="1"/>
  <c r="K31" i="26"/>
  <c r="D43" i="5"/>
  <c r="M41" i="28"/>
  <c r="O41" i="28" s="1"/>
  <c r="K41" i="28"/>
  <c r="U41" i="28"/>
  <c r="W41" i="28" s="1"/>
  <c r="C820" i="17"/>
  <c r="C821" i="17" s="1"/>
  <c r="C822" i="17" s="1"/>
  <c r="C823" i="17" s="1"/>
  <c r="C824" i="17" s="1"/>
  <c r="C825" i="17" s="1"/>
  <c r="C826" i="17" s="1"/>
  <c r="C827" i="17" s="1"/>
  <c r="C828" i="17" s="1"/>
  <c r="C829" i="17" s="1"/>
  <c r="C830" i="17" s="1"/>
  <c r="C831" i="17" s="1"/>
  <c r="C832" i="17" s="1"/>
  <c r="C833" i="17" s="1"/>
  <c r="C834" i="17" s="1"/>
  <c r="C835" i="17" s="1"/>
  <c r="C836" i="17" s="1"/>
  <c r="C837" i="17" s="1"/>
  <c r="C838" i="17" s="1"/>
  <c r="C839" i="17" s="1"/>
  <c r="C840" i="17" s="1"/>
  <c r="C841" i="17" s="1"/>
  <c r="C842" i="17" s="1"/>
  <c r="C843" i="17" s="1"/>
  <c r="C844" i="17" s="1"/>
  <c r="C845" i="17" s="1"/>
  <c r="C846" i="17" s="1"/>
  <c r="C847" i="17" s="1"/>
  <c r="C848" i="17" s="1"/>
  <c r="C849" i="17" s="1"/>
  <c r="C850" i="17" s="1"/>
  <c r="K34" i="7"/>
  <c r="L34" i="7" s="1"/>
  <c r="M34" i="7" s="1"/>
  <c r="H42" i="6"/>
  <c r="K30" i="26"/>
  <c r="D42" i="5"/>
  <c r="L37" i="16"/>
  <c r="K35" i="7" l="1"/>
  <c r="L35" i="7" s="1"/>
  <c r="M35" i="7" s="1"/>
  <c r="E34" i="16"/>
  <c r="K32" i="26" s="1"/>
  <c r="Q41" i="28"/>
  <c r="C851" i="17"/>
  <c r="C852" i="17" s="1"/>
  <c r="C853" i="17" s="1"/>
  <c r="C854" i="17" s="1"/>
  <c r="C855" i="17" s="1"/>
  <c r="C856" i="17" s="1"/>
  <c r="C857" i="17" s="1"/>
  <c r="C858" i="17" s="1"/>
  <c r="C859" i="17" s="1"/>
  <c r="C860" i="17" s="1"/>
  <c r="C861" i="17" s="1"/>
  <c r="C862" i="17" s="1"/>
  <c r="C863" i="17" s="1"/>
  <c r="C864" i="17" s="1"/>
  <c r="C865" i="17" s="1"/>
  <c r="C866" i="17" s="1"/>
  <c r="C867" i="17" s="1"/>
  <c r="C868" i="17" s="1"/>
  <c r="C869" i="17" s="1"/>
  <c r="C870" i="17" s="1"/>
  <c r="C871" i="17" s="1"/>
  <c r="C872" i="17" s="1"/>
  <c r="C873" i="17" s="1"/>
  <c r="C874" i="17" s="1"/>
  <c r="C875" i="17" s="1"/>
  <c r="C876" i="17" s="1"/>
  <c r="C877" i="17" s="1"/>
  <c r="C878" i="17" s="1"/>
  <c r="C879" i="17" s="1"/>
  <c r="C880" i="17" s="1"/>
  <c r="C881" i="17" s="1"/>
  <c r="C882" i="17" s="1"/>
  <c r="C883" i="17" s="1"/>
  <c r="C884" i="17" s="1"/>
  <c r="C885" i="17" s="1"/>
  <c r="L31" i="26"/>
  <c r="M31" i="26" s="1"/>
  <c r="P31" i="26"/>
  <c r="L30" i="26"/>
  <c r="M30" i="26" s="1"/>
  <c r="P30" i="26"/>
  <c r="L38" i="16"/>
  <c r="H44" i="6" l="1"/>
  <c r="K36" i="7"/>
  <c r="L36" i="7" s="1"/>
  <c r="M36" i="7" s="1"/>
  <c r="D44" i="5"/>
  <c r="E35" i="16"/>
  <c r="L32" i="26"/>
  <c r="M32" i="26" s="1"/>
  <c r="P32" i="26"/>
  <c r="L39" i="16"/>
  <c r="K37" i="7" l="1"/>
  <c r="L37" i="7" s="1"/>
  <c r="M37" i="7" s="1"/>
  <c r="K33" i="26"/>
  <c r="H45" i="6"/>
  <c r="D45" i="5"/>
  <c r="L40" i="16"/>
  <c r="L33" i="26" l="1"/>
  <c r="M33" i="26" s="1"/>
  <c r="P33" i="26"/>
  <c r="L41" i="16"/>
  <c r="L42" i="16" l="1"/>
  <c r="L43" i="16" l="1"/>
  <c r="L44" i="16" l="1"/>
  <c r="L45" i="16" l="1"/>
  <c r="L46" i="16" l="1"/>
  <c r="L47" i="16" l="1"/>
  <c r="L48" i="16" l="1"/>
  <c r="L49" i="16" l="1"/>
  <c r="L50" i="16" l="1"/>
  <c r="L51" i="16" l="1"/>
  <c r="L52" i="16" l="1"/>
  <c r="L53" i="16" l="1"/>
  <c r="L54" i="16" l="1"/>
  <c r="L55" i="16" l="1"/>
  <c r="L56" i="16" l="1"/>
  <c r="L57" i="16" l="1"/>
  <c r="L58" i="16" l="1"/>
  <c r="L59" i="16" l="1"/>
  <c r="L60" i="16" l="1"/>
  <c r="L61" i="16" l="1"/>
  <c r="L62" i="16" l="1"/>
  <c r="L63" i="16" l="1"/>
  <c r="L64" i="16" l="1"/>
  <c r="L65" i="16" l="1"/>
  <c r="L66" i="16" l="1"/>
  <c r="L67" i="16" l="1"/>
  <c r="L68" i="16" l="1"/>
  <c r="L69" i="16" l="1"/>
  <c r="L70" i="16" l="1"/>
  <c r="L71" i="16" l="1"/>
  <c r="L72" i="16" l="1"/>
  <c r="L73" i="16" l="1"/>
  <c r="L74" i="16" l="1"/>
  <c r="L75" i="16" l="1"/>
  <c r="L76" i="16" l="1"/>
  <c r="L77" i="16" l="1"/>
  <c r="L78" i="16" l="1"/>
  <c r="L79" i="16" l="1"/>
  <c r="L80" i="16" l="1"/>
  <c r="L81" i="16" l="1"/>
  <c r="L82" i="16" l="1"/>
  <c r="L83" i="16" l="1"/>
  <c r="L84" i="16" l="1"/>
  <c r="L85" i="16" l="1"/>
  <c r="L86" i="16" l="1"/>
  <c r="L87" i="16" l="1"/>
  <c r="L88" i="16" l="1"/>
  <c r="L89" i="16" l="1"/>
  <c r="L90" i="16" l="1"/>
  <c r="L91" i="16" l="1"/>
  <c r="L92" i="16" l="1"/>
  <c r="L93" i="16" l="1"/>
  <c r="L94" i="16" l="1"/>
  <c r="L95" i="16" l="1"/>
  <c r="L96" i="16" l="1"/>
  <c r="L97" i="16" l="1"/>
  <c r="L98" i="16" l="1"/>
  <c r="L99" i="16" l="1"/>
  <c r="L100" i="16" l="1"/>
  <c r="H10" i="16"/>
  <c r="C119" i="17"/>
  <c r="C118" i="17"/>
  <c r="C117" i="17"/>
  <c r="C116" i="17"/>
  <c r="C115" i="17"/>
  <c r="C114" i="17"/>
  <c r="C113" i="17"/>
  <c r="C112" i="17"/>
  <c r="C111" i="17"/>
  <c r="C110" i="17"/>
  <c r="C109" i="17"/>
  <c r="C108" i="17"/>
  <c r="C107" i="17"/>
  <c r="C106" i="17"/>
  <c r="C105" i="17"/>
  <c r="C104" i="17"/>
  <c r="C103" i="17"/>
  <c r="C102" i="17"/>
  <c r="C101" i="17"/>
  <c r="C100" i="17"/>
  <c r="C99" i="17"/>
  <c r="C98" i="17"/>
  <c r="C97" i="17"/>
  <c r="C96" i="17"/>
  <c r="C95" i="17"/>
  <c r="C94" i="17"/>
  <c r="C93" i="17"/>
  <c r="C92" i="17"/>
  <c r="C91" i="17"/>
  <c r="J27" i="8"/>
  <c r="K27" i="8" s="1"/>
  <c r="L27" i="8" s="1"/>
  <c r="M27" i="8" s="1"/>
  <c r="N27" i="8" s="1"/>
  <c r="L12" i="7"/>
  <c r="O27" i="8" l="1"/>
  <c r="N25" i="8"/>
  <c r="L101" i="16"/>
  <c r="M25" i="8"/>
  <c r="N18" i="6"/>
  <c r="M21" i="6"/>
  <c r="M22" i="6"/>
  <c r="M18" i="6"/>
  <c r="M17" i="6"/>
  <c r="L13" i="7"/>
  <c r="P27" i="8" l="1"/>
  <c r="O25" i="8"/>
  <c r="L102" i="16"/>
  <c r="O31" i="8" l="1"/>
  <c r="O28" i="8" s="1"/>
  <c r="Q27" i="8"/>
  <c r="R27" i="8" s="1"/>
  <c r="P25" i="8"/>
  <c r="P31" i="8" s="1"/>
  <c r="P28" i="8" s="1"/>
  <c r="L103" i="16"/>
  <c r="C90" i="17"/>
  <c r="C89" i="17"/>
  <c r="C88" i="17"/>
  <c r="C87" i="17"/>
  <c r="C86" i="17"/>
  <c r="C85" i="17"/>
  <c r="C84" i="17"/>
  <c r="C83" i="17"/>
  <c r="C82" i="17"/>
  <c r="C81" i="17"/>
  <c r="C80" i="17"/>
  <c r="C79" i="17"/>
  <c r="C78" i="17"/>
  <c r="C77" i="17"/>
  <c r="C76" i="17"/>
  <c r="C75" i="17"/>
  <c r="C74" i="17"/>
  <c r="C73" i="17"/>
  <c r="C72" i="17"/>
  <c r="C71" i="17"/>
  <c r="C70" i="17"/>
  <c r="C69" i="17"/>
  <c r="C68" i="17"/>
  <c r="C67" i="17"/>
  <c r="C66" i="17"/>
  <c r="C65" i="17"/>
  <c r="C64" i="17"/>
  <c r="C63" i="17"/>
  <c r="C62" i="17"/>
  <c r="C61" i="17"/>
  <c r="C60" i="17"/>
  <c r="C59" i="17"/>
  <c r="R25" i="8" l="1"/>
  <c r="R31" i="8" s="1"/>
  <c r="R28" i="8" s="1"/>
  <c r="S27" i="8"/>
  <c r="Q25" i="8"/>
  <c r="Q31" i="8" s="1"/>
  <c r="Q28" i="8" s="1"/>
  <c r="L104" i="16"/>
  <c r="C16" i="15"/>
  <c r="T27" i="8" l="1"/>
  <c r="S25" i="8"/>
  <c r="S31" i="8" s="1"/>
  <c r="S28" i="8" s="1"/>
  <c r="L105" i="16"/>
  <c r="F6" i="18"/>
  <c r="H6" i="18" s="1"/>
  <c r="F5" i="18"/>
  <c r="H5" i="18" s="1"/>
  <c r="H15" i="18" s="1"/>
  <c r="F7" i="18"/>
  <c r="H7" i="18" s="1"/>
  <c r="K17" i="6"/>
  <c r="O10" i="7"/>
  <c r="P14" i="7"/>
  <c r="P11" i="7"/>
  <c r="P12" i="7"/>
  <c r="P13"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0" i="7"/>
  <c r="M20" i="5"/>
  <c r="M19" i="5"/>
  <c r="O48"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5" i="7"/>
  <c r="O46" i="7"/>
  <c r="O47"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W20"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17" i="6"/>
  <c r="U17" i="6"/>
  <c r="N19" i="6"/>
  <c r="N17" i="6"/>
  <c r="U18" i="6"/>
  <c r="W18" i="6" s="1"/>
  <c r="U19" i="6"/>
  <c r="W19" i="6" s="1"/>
  <c r="U20" i="6"/>
  <c r="U21" i="6"/>
  <c r="W21" i="6" s="1"/>
  <c r="U22" i="6"/>
  <c r="W22" i="6" s="1"/>
  <c r="U23" i="6"/>
  <c r="W23" i="6" s="1"/>
  <c r="U24" i="6"/>
  <c r="W24" i="6" s="1"/>
  <c r="U25" i="6"/>
  <c r="W25" i="6" s="1"/>
  <c r="U26" i="6"/>
  <c r="W26" i="6" s="1"/>
  <c r="U27" i="6"/>
  <c r="W27" i="6" s="1"/>
  <c r="U28" i="6"/>
  <c r="W28" i="6" s="1"/>
  <c r="U29" i="6"/>
  <c r="W29" i="6" s="1"/>
  <c r="U30" i="6"/>
  <c r="W30" i="6" s="1"/>
  <c r="U31" i="6"/>
  <c r="W31" i="6" s="1"/>
  <c r="U32" i="6"/>
  <c r="W32" i="6" s="1"/>
  <c r="U33" i="6"/>
  <c r="W33" i="6" s="1"/>
  <c r="U34" i="6"/>
  <c r="W34" i="6" s="1"/>
  <c r="U35" i="6"/>
  <c r="W35" i="6" s="1"/>
  <c r="U36" i="6"/>
  <c r="W36" i="6" s="1"/>
  <c r="U37" i="6"/>
  <c r="W37" i="6" s="1"/>
  <c r="U38" i="6"/>
  <c r="W38" i="6" s="1"/>
  <c r="U39" i="6"/>
  <c r="W39" i="6" s="1"/>
  <c r="U40" i="6"/>
  <c r="W40" i="6" s="1"/>
  <c r="U41" i="6"/>
  <c r="W41" i="6" s="1"/>
  <c r="U42" i="6"/>
  <c r="W42" i="6" s="1"/>
  <c r="U43" i="6"/>
  <c r="W43" i="6" s="1"/>
  <c r="U44" i="6"/>
  <c r="W44" i="6" s="1"/>
  <c r="U45" i="6"/>
  <c r="W45" i="6" s="1"/>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17" i="6"/>
  <c r="D17" i="6"/>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7" i="5"/>
  <c r="J17"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C17" i="5"/>
  <c r="T25" i="8" l="1"/>
  <c r="T31" i="8" s="1"/>
  <c r="T28" i="8" s="1"/>
  <c r="U27" i="8"/>
  <c r="L106" i="16"/>
  <c r="G23" i="8"/>
  <c r="V27" i="8" l="1"/>
  <c r="U25" i="8"/>
  <c r="U31" i="8" s="1"/>
  <c r="U28" i="8" s="1"/>
  <c r="G22" i="8"/>
  <c r="J22" i="8" s="1"/>
  <c r="J23" i="8"/>
  <c r="L107" i="16"/>
  <c r="V25" i="8" l="1"/>
  <c r="V31" i="8" s="1"/>
  <c r="V28" i="8" s="1"/>
  <c r="W27" i="8"/>
  <c r="L108" i="16"/>
  <c r="C58" i="17"/>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D16" i="15"/>
  <c r="E16" i="15"/>
  <c r="F16" i="15"/>
  <c r="X27" i="8" l="1"/>
  <c r="W25" i="8"/>
  <c r="W31" i="8" s="1"/>
  <c r="W28" i="8" s="1"/>
  <c r="L109" i="16"/>
  <c r="I20" i="5"/>
  <c r="J26" i="8"/>
  <c r="K26" i="8" s="1"/>
  <c r="G25" i="8"/>
  <c r="H25" i="8"/>
  <c r="I25" i="8"/>
  <c r="F25" i="8"/>
  <c r="E25" i="8"/>
  <c r="Y12" i="16"/>
  <c r="AA12" i="16" s="1"/>
  <c r="Y13" i="16"/>
  <c r="AA13" i="16" s="1"/>
  <c r="Y14" i="16"/>
  <c r="AA14" i="16" s="1"/>
  <c r="Y15" i="16"/>
  <c r="Y16" i="16"/>
  <c r="Y17" i="16"/>
  <c r="Y18" i="16"/>
  <c r="Y19" i="16"/>
  <c r="Y20" i="16"/>
  <c r="Y21" i="16"/>
  <c r="Y22" i="16"/>
  <c r="Y23" i="16"/>
  <c r="Y24" i="16"/>
  <c r="Y25" i="16"/>
  <c r="Y26" i="16"/>
  <c r="Y27" i="16"/>
  <c r="Y28" i="16"/>
  <c r="Y29" i="16"/>
  <c r="Y30" i="16"/>
  <c r="Y31" i="16"/>
  <c r="Y32" i="16"/>
  <c r="Y33" i="16"/>
  <c r="Y34" i="16"/>
  <c r="Y35" i="16"/>
  <c r="Y36" i="16"/>
  <c r="Y37" i="16"/>
  <c r="Y38" i="16"/>
  <c r="Y39" i="16"/>
  <c r="Y40" i="16"/>
  <c r="Y41" i="16"/>
  <c r="Y42" i="16"/>
  <c r="Y43" i="16"/>
  <c r="Y44" i="16"/>
  <c r="Y45" i="16"/>
  <c r="Y46" i="16"/>
  <c r="Y47" i="16"/>
  <c r="Y48" i="16"/>
  <c r="Y49" i="16"/>
  <c r="Y50" i="16"/>
  <c r="Y51" i="16"/>
  <c r="Y52" i="16"/>
  <c r="Y53" i="16"/>
  <c r="Y54" i="16"/>
  <c r="Y55" i="16"/>
  <c r="Y56" i="16"/>
  <c r="Y57" i="16"/>
  <c r="Y58" i="16"/>
  <c r="Y59" i="16"/>
  <c r="Y60" i="16"/>
  <c r="Y61" i="16"/>
  <c r="Y62" i="16"/>
  <c r="Y63" i="16"/>
  <c r="Y64" i="16"/>
  <c r="Y65" i="16"/>
  <c r="Y66" i="16"/>
  <c r="Y67" i="16"/>
  <c r="Y68" i="16"/>
  <c r="Y69" i="16"/>
  <c r="Y70" i="16"/>
  <c r="Y71" i="16"/>
  <c r="Y72" i="16"/>
  <c r="Y73" i="16"/>
  <c r="Y74" i="16"/>
  <c r="Y75" i="16"/>
  <c r="Y76" i="16"/>
  <c r="Y77" i="16"/>
  <c r="Y78" i="16"/>
  <c r="Y79" i="16"/>
  <c r="Y80" i="16"/>
  <c r="Y81" i="16"/>
  <c r="Y82" i="16"/>
  <c r="Y83" i="16"/>
  <c r="Y84" i="16"/>
  <c r="Y85" i="16"/>
  <c r="Y86" i="16"/>
  <c r="Y87" i="16"/>
  <c r="Y88" i="16"/>
  <c r="Y89" i="16"/>
  <c r="Y90" i="16"/>
  <c r="Y91" i="16"/>
  <c r="Y92" i="16"/>
  <c r="Y93" i="16"/>
  <c r="Y94" i="16"/>
  <c r="Y95" i="16"/>
  <c r="Y96" i="16"/>
  <c r="Y97" i="16"/>
  <c r="Y98" i="16"/>
  <c r="Y99" i="16"/>
  <c r="Y100" i="16"/>
  <c r="Y101" i="16"/>
  <c r="Y102" i="16"/>
  <c r="Y103" i="16"/>
  <c r="Y104" i="16"/>
  <c r="Y105" i="16"/>
  <c r="Y106" i="16"/>
  <c r="Y107" i="16"/>
  <c r="Y108" i="16"/>
  <c r="Y109" i="16"/>
  <c r="Y110" i="16"/>
  <c r="Y111" i="16"/>
  <c r="Y112" i="16"/>
  <c r="Y113" i="16"/>
  <c r="Y114" i="16"/>
  <c r="Y115" i="16"/>
  <c r="Y116" i="16"/>
  <c r="Y117" i="16"/>
  <c r="Y118" i="16"/>
  <c r="Y119" i="16"/>
  <c r="Y120" i="16"/>
  <c r="Y121" i="16"/>
  <c r="Y122" i="16"/>
  <c r="Y123" i="16"/>
  <c r="Y124" i="16"/>
  <c r="Y125" i="16"/>
  <c r="Y9" i="16"/>
  <c r="AA9" i="16" s="1"/>
  <c r="Y10" i="16"/>
  <c r="AA10" i="16" s="1"/>
  <c r="Y11" i="16"/>
  <c r="AA11" i="16" s="1"/>
  <c r="Y8" i="16"/>
  <c r="AA8" i="16" s="1"/>
  <c r="C7" i="16"/>
  <c r="H17" i="8"/>
  <c r="G17" i="8"/>
  <c r="J17" i="8" s="1"/>
  <c r="F17" i="8"/>
  <c r="E17" i="8"/>
  <c r="L11" i="7"/>
  <c r="M11" i="7" s="1"/>
  <c r="G21" i="8" s="1"/>
  <c r="M12" i="7"/>
  <c r="H21" i="8" s="1"/>
  <c r="M13" i="7"/>
  <c r="I21" i="8" s="1"/>
  <c r="X25" i="8" l="1"/>
  <c r="X31" i="8" s="1"/>
  <c r="X28" i="8" s="1"/>
  <c r="Y27" i="8"/>
  <c r="J21" i="8"/>
  <c r="L26" i="8"/>
  <c r="L25" i="8" s="1"/>
  <c r="K25" i="8"/>
  <c r="E15" i="8"/>
  <c r="L110" i="16"/>
  <c r="J25" i="8"/>
  <c r="C30" i="17"/>
  <c r="C29" i="17"/>
  <c r="C28" i="17"/>
  <c r="C27" i="17"/>
  <c r="C26" i="17"/>
  <c r="C25" i="17"/>
  <c r="C24" i="17"/>
  <c r="C23" i="17"/>
  <c r="C22" i="17"/>
  <c r="C21" i="17"/>
  <c r="C20" i="17"/>
  <c r="C19" i="17"/>
  <c r="C18" i="17"/>
  <c r="C17" i="17"/>
  <c r="C16" i="17"/>
  <c r="C15" i="17"/>
  <c r="C14" i="17"/>
  <c r="C13" i="17"/>
  <c r="C12" i="17"/>
  <c r="C11" i="17"/>
  <c r="C10" i="17"/>
  <c r="C9" i="17"/>
  <c r="C8" i="17"/>
  <c r="C7" i="17"/>
  <c r="C6" i="17"/>
  <c r="C5" i="17"/>
  <c r="C4" i="17"/>
  <c r="C3" i="17"/>
  <c r="C2" i="17"/>
  <c r="I79" i="5"/>
  <c r="I80" i="5"/>
  <c r="I81" i="5"/>
  <c r="I82" i="5"/>
  <c r="I83" i="5"/>
  <c r="I84" i="5"/>
  <c r="I85" i="5"/>
  <c r="I86" i="5"/>
  <c r="I87" i="5"/>
  <c r="I88" i="5"/>
  <c r="I89" i="5"/>
  <c r="I90" i="5"/>
  <c r="I91" i="5"/>
  <c r="I92" i="5"/>
  <c r="I93" i="5"/>
  <c r="H83" i="16" s="1"/>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78" i="5"/>
  <c r="I77" i="5"/>
  <c r="I76" i="5"/>
  <c r="H101" i="7"/>
  <c r="H102" i="7"/>
  <c r="H103" i="7"/>
  <c r="H100" i="16" s="1"/>
  <c r="H104" i="7"/>
  <c r="H105" i="7"/>
  <c r="H106" i="7"/>
  <c r="H107" i="7"/>
  <c r="H108" i="7"/>
  <c r="H109" i="7"/>
  <c r="H110" i="7"/>
  <c r="H111" i="7"/>
  <c r="H112" i="7"/>
  <c r="H113" i="7"/>
  <c r="H114" i="7"/>
  <c r="H115" i="7"/>
  <c r="H112" i="16" s="1"/>
  <c r="H116" i="7"/>
  <c r="H117" i="7"/>
  <c r="H118" i="7"/>
  <c r="H119" i="7"/>
  <c r="H120" i="7"/>
  <c r="H121" i="7"/>
  <c r="H122" i="7"/>
  <c r="H123" i="7"/>
  <c r="H124" i="7"/>
  <c r="H125" i="7"/>
  <c r="H122" i="16" s="1"/>
  <c r="H126" i="7"/>
  <c r="H127" i="7"/>
  <c r="H100" i="7"/>
  <c r="J90" i="6"/>
  <c r="J89" i="6"/>
  <c r="J91" i="6"/>
  <c r="J92" i="6"/>
  <c r="H81" i="16" s="1"/>
  <c r="J93" i="6"/>
  <c r="H82" i="16" s="1"/>
  <c r="J94" i="6"/>
  <c r="J95" i="6"/>
  <c r="H84" i="16" s="1"/>
  <c r="J96" i="6"/>
  <c r="H85" i="16" s="1"/>
  <c r="J97" i="6"/>
  <c r="J98" i="6"/>
  <c r="H87" i="16" s="1"/>
  <c r="J99" i="6"/>
  <c r="J100" i="6"/>
  <c r="H89" i="16" s="1"/>
  <c r="J101" i="6"/>
  <c r="H90" i="16" s="1"/>
  <c r="J102" i="6"/>
  <c r="J103" i="6"/>
  <c r="J104" i="6"/>
  <c r="H93" i="16" s="1"/>
  <c r="J105" i="6"/>
  <c r="H94" i="16" s="1"/>
  <c r="J106" i="6"/>
  <c r="H95" i="16" s="1"/>
  <c r="J107" i="6"/>
  <c r="H96" i="16" s="1"/>
  <c r="J108" i="6"/>
  <c r="J109" i="6"/>
  <c r="H98" i="16" s="1"/>
  <c r="J110" i="6"/>
  <c r="H99" i="16" s="1"/>
  <c r="J111" i="6"/>
  <c r="J112" i="6"/>
  <c r="H101" i="16" s="1"/>
  <c r="J113" i="6"/>
  <c r="J114" i="6"/>
  <c r="J115" i="6"/>
  <c r="J116" i="6"/>
  <c r="H105" i="16" s="1"/>
  <c r="J117" i="6"/>
  <c r="J118" i="6"/>
  <c r="J119" i="6"/>
  <c r="H108" i="16" s="1"/>
  <c r="J120" i="6"/>
  <c r="J121" i="6"/>
  <c r="H110" i="16" s="1"/>
  <c r="J122" i="6"/>
  <c r="H111" i="16" s="1"/>
  <c r="J123" i="6"/>
  <c r="J124" i="6"/>
  <c r="H113" i="16" s="1"/>
  <c r="J125" i="6"/>
  <c r="J126" i="6"/>
  <c r="J127" i="6"/>
  <c r="J128" i="6"/>
  <c r="J129" i="6"/>
  <c r="H118" i="16" s="1"/>
  <c r="J130" i="6"/>
  <c r="J131" i="6"/>
  <c r="H120" i="16" s="1"/>
  <c r="J132" i="6"/>
  <c r="J133" i="6"/>
  <c r="J134" i="6"/>
  <c r="J135" i="6"/>
  <c r="H124" i="16" s="1"/>
  <c r="J136" i="6"/>
  <c r="H125" i="16" s="1"/>
  <c r="H86" i="16"/>
  <c r="H88" i="16"/>
  <c r="H91" i="16"/>
  <c r="H115" i="16"/>
  <c r="H117" i="16"/>
  <c r="J79" i="6"/>
  <c r="J80" i="6"/>
  <c r="J81" i="6"/>
  <c r="J82" i="6"/>
  <c r="J83" i="6"/>
  <c r="J84" i="6"/>
  <c r="J85" i="6"/>
  <c r="H74" i="16" s="1"/>
  <c r="J86" i="6"/>
  <c r="H75" i="16" s="1"/>
  <c r="J87" i="6"/>
  <c r="J88" i="6"/>
  <c r="H77" i="16" s="1"/>
  <c r="J78" i="6"/>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46" i="7"/>
  <c r="F45" i="7"/>
  <c r="C71" i="16"/>
  <c r="N71" i="16" s="1"/>
  <c r="C72" i="16"/>
  <c r="N72" i="16" s="1"/>
  <c r="C73" i="16"/>
  <c r="N73" i="16" s="1"/>
  <c r="C74" i="16"/>
  <c r="N74" i="16" s="1"/>
  <c r="C75" i="16"/>
  <c r="N75" i="16" s="1"/>
  <c r="C76" i="16"/>
  <c r="N76" i="16" s="1"/>
  <c r="C77" i="16"/>
  <c r="N77" i="16" s="1"/>
  <c r="C78" i="16"/>
  <c r="N78" i="16" s="1"/>
  <c r="C79" i="16"/>
  <c r="N79" i="16" s="1"/>
  <c r="C80" i="16"/>
  <c r="N80" i="16" s="1"/>
  <c r="C81" i="16"/>
  <c r="N81" i="16" s="1"/>
  <c r="C82" i="16"/>
  <c r="N82" i="16" s="1"/>
  <c r="C83" i="16"/>
  <c r="N83" i="16" s="1"/>
  <c r="C84" i="16"/>
  <c r="N84" i="16" s="1"/>
  <c r="C85" i="16"/>
  <c r="N85" i="16" s="1"/>
  <c r="C86" i="16"/>
  <c r="N86" i="16" s="1"/>
  <c r="C87" i="16"/>
  <c r="N87" i="16" s="1"/>
  <c r="C88" i="16"/>
  <c r="N88" i="16" s="1"/>
  <c r="C89" i="16"/>
  <c r="N89" i="16" s="1"/>
  <c r="C90" i="16"/>
  <c r="N90" i="16" s="1"/>
  <c r="C91" i="16"/>
  <c r="N91" i="16" s="1"/>
  <c r="C92" i="16"/>
  <c r="N92" i="16" s="1"/>
  <c r="C93" i="16"/>
  <c r="N93" i="16" s="1"/>
  <c r="C94" i="16"/>
  <c r="N94" i="16" s="1"/>
  <c r="C95" i="16"/>
  <c r="N95" i="16" s="1"/>
  <c r="C96" i="16"/>
  <c r="N96" i="16" s="1"/>
  <c r="C97" i="16"/>
  <c r="N97" i="16" s="1"/>
  <c r="C98" i="16"/>
  <c r="N98" i="16" s="1"/>
  <c r="C99" i="16"/>
  <c r="N99" i="16" s="1"/>
  <c r="C100" i="16"/>
  <c r="N100" i="16" s="1"/>
  <c r="C101" i="16"/>
  <c r="N101" i="16" s="1"/>
  <c r="C102" i="16"/>
  <c r="N102" i="16" s="1"/>
  <c r="C103" i="16"/>
  <c r="N103" i="16" s="1"/>
  <c r="C104" i="16"/>
  <c r="N104" i="16" s="1"/>
  <c r="C105" i="16"/>
  <c r="N105" i="16" s="1"/>
  <c r="C106" i="16"/>
  <c r="N106" i="16" s="1"/>
  <c r="C107" i="16"/>
  <c r="N107" i="16" s="1"/>
  <c r="C108" i="16"/>
  <c r="N108" i="16" s="1"/>
  <c r="C109" i="16"/>
  <c r="N109" i="16" s="1"/>
  <c r="C110" i="16"/>
  <c r="C111" i="16"/>
  <c r="C112" i="16"/>
  <c r="C113" i="16"/>
  <c r="C114" i="16"/>
  <c r="C115" i="16"/>
  <c r="C116" i="16"/>
  <c r="C117" i="16"/>
  <c r="C118" i="16"/>
  <c r="C119" i="16"/>
  <c r="C120" i="16"/>
  <c r="C121" i="16"/>
  <c r="C122" i="16"/>
  <c r="C123" i="16"/>
  <c r="C124" i="16"/>
  <c r="C125" i="16"/>
  <c r="C67" i="16"/>
  <c r="N67" i="16" s="1"/>
  <c r="C68" i="16"/>
  <c r="N68" i="16" s="1"/>
  <c r="C69" i="16"/>
  <c r="N69" i="16" s="1"/>
  <c r="C70" i="16"/>
  <c r="N70" i="16" s="1"/>
  <c r="H10" i="7"/>
  <c r="C8" i="16"/>
  <c r="C66" i="16"/>
  <c r="N66" i="16" s="1"/>
  <c r="C65" i="16"/>
  <c r="N65" i="16" s="1"/>
  <c r="C64" i="16"/>
  <c r="N64" i="16" s="1"/>
  <c r="C63" i="16"/>
  <c r="N63" i="16" s="1"/>
  <c r="C62" i="16"/>
  <c r="N62" i="16" s="1"/>
  <c r="C61" i="16"/>
  <c r="N61" i="16" s="1"/>
  <c r="C60" i="16"/>
  <c r="N60" i="16" s="1"/>
  <c r="C59" i="16"/>
  <c r="N59" i="16" s="1"/>
  <c r="C58" i="16"/>
  <c r="N58" i="16" s="1"/>
  <c r="C57" i="16"/>
  <c r="N57" i="16" s="1"/>
  <c r="C56" i="16"/>
  <c r="N56" i="16" s="1"/>
  <c r="C55" i="16"/>
  <c r="N55" i="16" s="1"/>
  <c r="C54" i="16"/>
  <c r="N54" i="16" s="1"/>
  <c r="C53" i="16"/>
  <c r="N53" i="16" s="1"/>
  <c r="C52" i="16"/>
  <c r="N52" i="16" s="1"/>
  <c r="C51" i="16"/>
  <c r="N51" i="16" s="1"/>
  <c r="C50" i="16"/>
  <c r="N50" i="16" s="1"/>
  <c r="C49" i="16"/>
  <c r="N49" i="16" s="1"/>
  <c r="C48" i="16"/>
  <c r="N48" i="16" s="1"/>
  <c r="C47" i="16"/>
  <c r="N47" i="16" s="1"/>
  <c r="C46" i="16"/>
  <c r="N46" i="16" s="1"/>
  <c r="C45" i="16"/>
  <c r="N45" i="16" s="1"/>
  <c r="C44" i="16"/>
  <c r="N44" i="16" s="1"/>
  <c r="C43" i="16"/>
  <c r="N43" i="16" s="1"/>
  <c r="C42" i="16"/>
  <c r="N42" i="16" s="1"/>
  <c r="C41" i="16"/>
  <c r="N41" i="16" s="1"/>
  <c r="C40" i="16"/>
  <c r="N40" i="16" s="1"/>
  <c r="C39" i="16"/>
  <c r="N39" i="16" s="1"/>
  <c r="C38" i="16"/>
  <c r="N38" i="16" s="1"/>
  <c r="C37" i="16"/>
  <c r="N37" i="16" s="1"/>
  <c r="C36" i="16"/>
  <c r="N36" i="16" s="1"/>
  <c r="C35" i="16"/>
  <c r="N35" i="16" s="1"/>
  <c r="C34" i="16"/>
  <c r="N34" i="16" s="1"/>
  <c r="C33" i="16"/>
  <c r="N33" i="16" s="1"/>
  <c r="C32" i="16"/>
  <c r="N32" i="16" s="1"/>
  <c r="C31" i="16"/>
  <c r="N31" i="16" s="1"/>
  <c r="C30" i="16"/>
  <c r="N30" i="16" s="1"/>
  <c r="C29" i="16"/>
  <c r="N29" i="16" s="1"/>
  <c r="C28" i="16"/>
  <c r="N28" i="16" s="1"/>
  <c r="C27" i="16"/>
  <c r="N27" i="16" s="1"/>
  <c r="C26" i="16"/>
  <c r="N26" i="16" s="1"/>
  <c r="C25" i="16"/>
  <c r="N25" i="16" s="1"/>
  <c r="C24" i="16"/>
  <c r="N24" i="16" s="1"/>
  <c r="C23" i="16"/>
  <c r="N23" i="16" s="1"/>
  <c r="C22" i="16"/>
  <c r="N22" i="16" s="1"/>
  <c r="C21" i="16"/>
  <c r="N21" i="16" s="1"/>
  <c r="C20" i="16"/>
  <c r="N20" i="16" s="1"/>
  <c r="C19" i="16"/>
  <c r="N19" i="16" s="1"/>
  <c r="C18" i="16"/>
  <c r="N18" i="16" s="1"/>
  <c r="C17" i="16"/>
  <c r="N17" i="16" s="1"/>
  <c r="C16" i="16"/>
  <c r="N16" i="16" s="1"/>
  <c r="C15" i="16"/>
  <c r="N15" i="16" s="1"/>
  <c r="C14" i="16"/>
  <c r="N14" i="16" s="1"/>
  <c r="C13" i="16"/>
  <c r="C12" i="16"/>
  <c r="C11" i="16"/>
  <c r="C10" i="16"/>
  <c r="C9" i="16"/>
  <c r="I17" i="5"/>
  <c r="H12" i="7"/>
  <c r="H11" i="7"/>
  <c r="Y25" i="8" l="1"/>
  <c r="Y31" i="8" s="1"/>
  <c r="Y28" i="8" s="1"/>
  <c r="Z27" i="8"/>
  <c r="Z25" i="8" s="1"/>
  <c r="Z31" i="8" s="1"/>
  <c r="Z28" i="8" s="1"/>
  <c r="N110" i="16"/>
  <c r="L111" i="16"/>
  <c r="S8" i="16"/>
  <c r="AB8" i="16"/>
  <c r="E13" i="8"/>
  <c r="E31" i="8" s="1"/>
  <c r="H123" i="16"/>
  <c r="H97" i="16"/>
  <c r="H72" i="16"/>
  <c r="H71" i="16"/>
  <c r="H70" i="16"/>
  <c r="H69" i="16"/>
  <c r="H106" i="16"/>
  <c r="H73" i="16"/>
  <c r="H116" i="16"/>
  <c r="H104" i="16"/>
  <c r="H92" i="16"/>
  <c r="H80" i="16"/>
  <c r="H103" i="16"/>
  <c r="H79" i="16"/>
  <c r="H114" i="16"/>
  <c r="H102" i="16"/>
  <c r="H78" i="16"/>
  <c r="H76" i="16"/>
  <c r="H119" i="16"/>
  <c r="H68" i="16"/>
  <c r="H67" i="16"/>
  <c r="H107" i="16"/>
  <c r="H121" i="16"/>
  <c r="H109" i="16"/>
  <c r="T7" i="16"/>
  <c r="Q8" i="16"/>
  <c r="T8" i="16"/>
  <c r="A16" i="6"/>
  <c r="S9" i="16" l="1"/>
  <c r="AB9" i="16"/>
  <c r="F13" i="8"/>
  <c r="F31" i="8" s="1"/>
  <c r="N111" i="16"/>
  <c r="L112" i="16"/>
  <c r="Q9" i="16"/>
  <c r="S10" i="16" l="1"/>
  <c r="AB10" i="16"/>
  <c r="G13" i="8"/>
  <c r="G31" i="8" s="1"/>
  <c r="N112" i="16"/>
  <c r="L113" i="16"/>
  <c r="E6" i="6"/>
  <c r="D18" i="6"/>
  <c r="H31" i="8" l="1"/>
  <c r="I13" i="8"/>
  <c r="I31" i="8" s="1"/>
  <c r="AB11" i="16"/>
  <c r="N113" i="16"/>
  <c r="L114" i="16"/>
  <c r="T9" i="16"/>
  <c r="AB12" i="16" l="1"/>
  <c r="Q12" i="16"/>
  <c r="J13" i="8"/>
  <c r="J31" i="8" s="1"/>
  <c r="J28" i="8" s="1"/>
  <c r="K13" i="8"/>
  <c r="K31" i="8" s="1"/>
  <c r="AB13" i="16"/>
  <c r="N114" i="16"/>
  <c r="L115" i="16"/>
  <c r="Q13" i="16"/>
  <c r="S13" i="16"/>
  <c r="T10" i="16"/>
  <c r="K28" i="8" l="1"/>
  <c r="L13" i="8"/>
  <c r="AB14" i="16"/>
  <c r="L116" i="16"/>
  <c r="N115" i="16"/>
  <c r="Q14" i="16"/>
  <c r="S14" i="16"/>
  <c r="T11" i="16"/>
  <c r="M31" i="8" l="1"/>
  <c r="M28" i="8" s="1"/>
  <c r="L31" i="8"/>
  <c r="L28" i="8" s="1"/>
  <c r="L117" i="16"/>
  <c r="N116" i="16"/>
  <c r="Q15" i="16"/>
  <c r="S15" i="16"/>
  <c r="N13" i="8" l="1"/>
  <c r="N31" i="8" s="1"/>
  <c r="N28" i="8" s="1"/>
  <c r="L118" i="16"/>
  <c r="N117" i="16"/>
  <c r="Q16" i="16"/>
  <c r="S16" i="16"/>
  <c r="T12" i="16"/>
  <c r="T13" i="16"/>
  <c r="L119" i="16" l="1"/>
  <c r="N118" i="16"/>
  <c r="Q17" i="16"/>
  <c r="S17" i="16"/>
  <c r="T14" i="16"/>
  <c r="F28" i="8"/>
  <c r="G28" i="8"/>
  <c r="H28" i="8"/>
  <c r="I28" i="8"/>
  <c r="E28" i="8"/>
  <c r="L120" i="16" l="1"/>
  <c r="N119" i="16"/>
  <c r="Q18" i="16"/>
  <c r="S18" i="16"/>
  <c r="L121" i="16" l="1"/>
  <c r="N120" i="16"/>
  <c r="Q19" i="16"/>
  <c r="S19" i="16"/>
  <c r="T16" i="16"/>
  <c r="L122" i="16" l="1"/>
  <c r="N121" i="16"/>
  <c r="Q20" i="16"/>
  <c r="S20" i="16"/>
  <c r="T15" i="16"/>
  <c r="T17" i="16"/>
  <c r="N122" i="16" l="1"/>
  <c r="L123" i="16"/>
  <c r="Q21" i="16"/>
  <c r="S21" i="16"/>
  <c r="N123" i="16" l="1"/>
  <c r="L124" i="16"/>
  <c r="Q22" i="16"/>
  <c r="S22" i="16"/>
  <c r="T18" i="16"/>
  <c r="N124" i="16" l="1"/>
  <c r="L125" i="16"/>
  <c r="Q23" i="16"/>
  <c r="AA13" i="8" s="1"/>
  <c r="S23" i="16"/>
  <c r="T19" i="16"/>
  <c r="AA31" i="8" l="1"/>
  <c r="AA28" i="8" s="1"/>
  <c r="N125" i="16"/>
  <c r="Q24" i="16"/>
  <c r="S24" i="16"/>
  <c r="T21" i="16"/>
  <c r="T20" i="16"/>
  <c r="Q25" i="16" l="1"/>
  <c r="S25" i="16"/>
  <c r="T22" i="16"/>
  <c r="Q26" i="16" l="1"/>
  <c r="S26" i="16"/>
  <c r="Q27" i="16" l="1"/>
  <c r="S27" i="16"/>
  <c r="T23" i="16"/>
  <c r="T24" i="16"/>
  <c r="Q28" i="16" l="1"/>
  <c r="S28" i="16"/>
  <c r="T25" i="16"/>
  <c r="Q29" i="16" l="1"/>
  <c r="S29" i="16"/>
  <c r="T26" i="16"/>
  <c r="Q30" i="16" l="1"/>
  <c r="S30" i="16"/>
  <c r="T27" i="16"/>
  <c r="Q31" i="16" l="1"/>
  <c r="S31" i="16"/>
  <c r="T28" i="16"/>
  <c r="Q32" i="16" l="1"/>
  <c r="S32" i="16"/>
  <c r="Q33" i="16" l="1"/>
  <c r="S33" i="16"/>
  <c r="Q34" i="16" l="1"/>
  <c r="S34" i="16"/>
  <c r="T29" i="16"/>
  <c r="T30" i="16"/>
  <c r="Q35" i="16" l="1"/>
  <c r="S35" i="16"/>
  <c r="T31" i="16"/>
  <c r="Q36" i="16" l="1"/>
  <c r="S36" i="16"/>
  <c r="T33" i="16"/>
  <c r="Q37" i="16" l="1"/>
  <c r="S37" i="16"/>
  <c r="T32" i="16"/>
  <c r="T34" i="16"/>
  <c r="Q38" i="16" l="1"/>
  <c r="S38" i="16"/>
  <c r="T35" i="16"/>
  <c r="Q39" i="16" l="1"/>
  <c r="S39" i="16"/>
  <c r="T36" i="16"/>
  <c r="Q40" i="16" l="1"/>
  <c r="S40" i="16"/>
  <c r="T37" i="16"/>
  <c r="Q41" i="16" l="1"/>
  <c r="S41" i="16"/>
  <c r="T38" i="16"/>
  <c r="Q42" i="16" l="1"/>
  <c r="S42" i="16"/>
  <c r="T39" i="16"/>
  <c r="Q43" i="16" l="1"/>
  <c r="S43" i="16"/>
  <c r="T40" i="16"/>
  <c r="Q44" i="16" l="1"/>
  <c r="S44" i="16"/>
  <c r="Q45" i="16" l="1"/>
  <c r="S45" i="16"/>
  <c r="T41" i="16"/>
  <c r="Q46" i="16" l="1"/>
  <c r="S46" i="16"/>
  <c r="T42" i="16"/>
  <c r="T43" i="16"/>
  <c r="Q47" i="16" l="1"/>
  <c r="S47" i="16"/>
  <c r="Q48" i="16" l="1"/>
  <c r="S48" i="16"/>
  <c r="Q49" i="16" l="1"/>
  <c r="S49" i="16"/>
  <c r="T44" i="16"/>
  <c r="T45" i="16"/>
  <c r="T46" i="16"/>
  <c r="Q50" i="16" l="1"/>
  <c r="S50" i="16"/>
  <c r="Q51" i="16" l="1"/>
  <c r="S51" i="16"/>
  <c r="T47" i="16"/>
  <c r="T48" i="16"/>
  <c r="Q52" i="16" l="1"/>
  <c r="S52" i="16"/>
  <c r="T49" i="16"/>
  <c r="Q53" i="16" l="1"/>
  <c r="S53" i="16"/>
  <c r="T50" i="16"/>
  <c r="Q54" i="16" l="1"/>
  <c r="S54" i="16"/>
  <c r="T51" i="16"/>
  <c r="Q55" i="16" l="1"/>
  <c r="S55" i="16"/>
  <c r="Q56" i="16" l="1"/>
  <c r="S56" i="16"/>
  <c r="T53" i="16"/>
  <c r="Q57" i="16" l="1"/>
  <c r="S57" i="16"/>
  <c r="T52" i="16"/>
  <c r="T54" i="16"/>
  <c r="Q58" i="16" l="1"/>
  <c r="S58" i="16"/>
  <c r="Q59" i="16" l="1"/>
  <c r="S59" i="16"/>
  <c r="T55" i="16"/>
  <c r="T56" i="16"/>
  <c r="Q60" i="16" l="1"/>
  <c r="S60" i="16"/>
  <c r="T57" i="16"/>
  <c r="Q61" i="16" l="1"/>
  <c r="S61" i="16"/>
  <c r="T58" i="16"/>
  <c r="Q62" i="16" l="1"/>
  <c r="S62" i="16"/>
  <c r="Q63" i="16" l="1"/>
  <c r="S63" i="16"/>
  <c r="T59" i="16"/>
  <c r="T60" i="16"/>
  <c r="Q64" i="16" l="1"/>
  <c r="S64" i="16"/>
  <c r="T61" i="16"/>
  <c r="Q65" i="16" l="1"/>
  <c r="S65" i="16"/>
  <c r="T62" i="16"/>
  <c r="Q66" i="16" l="1"/>
  <c r="S66" i="16"/>
  <c r="T63" i="16"/>
  <c r="Q67" i="16" l="1"/>
  <c r="S67" i="16"/>
  <c r="T67" i="16" s="1"/>
  <c r="T64" i="16"/>
  <c r="Q68" i="16" l="1"/>
  <c r="S68" i="16"/>
  <c r="T68" i="16" s="1"/>
  <c r="T66" i="16"/>
  <c r="Q69" i="16" l="1"/>
  <c r="S69" i="16"/>
  <c r="T69" i="16" s="1"/>
  <c r="T65" i="16"/>
  <c r="Q70" i="16" l="1"/>
  <c r="S70" i="16"/>
  <c r="T70" i="16" s="1"/>
  <c r="M9" i="10"/>
  <c r="M10" i="10" s="1"/>
  <c r="M11" i="10" s="1"/>
  <c r="F29" i="10" l="1"/>
  <c r="S71" i="16"/>
  <c r="T71" i="16" s="1"/>
  <c r="Q71" i="16"/>
  <c r="F23" i="10" l="1"/>
  <c r="F25" i="10" s="1"/>
  <c r="Q72" i="16"/>
  <c r="S72" i="16"/>
  <c r="T72" i="16" s="1"/>
  <c r="F24" i="10" l="1"/>
  <c r="Q73" i="16"/>
  <c r="S73" i="16"/>
  <c r="T73" i="16" s="1"/>
  <c r="C6"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I43" i="5"/>
  <c r="F19" i="6"/>
  <c r="L10" i="7"/>
  <c r="M10" i="7" s="1"/>
  <c r="F21" i="8" s="1"/>
  <c r="I76" i="6"/>
  <c r="D76" i="6"/>
  <c r="D75" i="6"/>
  <c r="D74" i="6"/>
  <c r="D73" i="6"/>
  <c r="D72" i="6"/>
  <c r="D71" i="6"/>
  <c r="D70" i="6"/>
  <c r="D69" i="6"/>
  <c r="D68" i="6"/>
  <c r="D67" i="6"/>
  <c r="D66" i="6"/>
  <c r="D65" i="6"/>
  <c r="D64" i="6"/>
  <c r="D63" i="6"/>
  <c r="D62" i="6"/>
  <c r="D61" i="6"/>
  <c r="D60" i="6"/>
  <c r="D59" i="6"/>
  <c r="D58" i="6"/>
  <c r="D57" i="6"/>
  <c r="D56" i="6"/>
  <c r="D55" i="6"/>
  <c r="D54" i="6"/>
  <c r="D53" i="6"/>
  <c r="D52" i="6"/>
  <c r="D51" i="6"/>
  <c r="D50" i="6"/>
  <c r="D49" i="6"/>
  <c r="D48" i="6"/>
  <c r="D47" i="6"/>
  <c r="D46" i="6"/>
  <c r="D45" i="6"/>
  <c r="D44" i="6"/>
  <c r="D43" i="6"/>
  <c r="D42" i="6"/>
  <c r="D41" i="6"/>
  <c r="D40" i="6"/>
  <c r="D39" i="6"/>
  <c r="D38" i="6"/>
  <c r="D37" i="6"/>
  <c r="D36" i="6"/>
  <c r="D35" i="6"/>
  <c r="D34" i="6"/>
  <c r="D33" i="6"/>
  <c r="D32" i="6"/>
  <c r="D31" i="6"/>
  <c r="D30" i="6"/>
  <c r="D29" i="6"/>
  <c r="D28" i="6"/>
  <c r="D27" i="6"/>
  <c r="D26" i="6"/>
  <c r="D25" i="6"/>
  <c r="D24" i="6"/>
  <c r="D23" i="6"/>
  <c r="D22" i="6"/>
  <c r="D21" i="6"/>
  <c r="D20" i="6"/>
  <c r="D19" i="6"/>
  <c r="Q16" i="6"/>
  <c r="I16" i="6"/>
  <c r="F16" i="6"/>
  <c r="F64" i="6" s="1"/>
  <c r="E3" i="6"/>
  <c r="F13" i="10" l="1"/>
  <c r="B32" i="10" s="1"/>
  <c r="Q74" i="16"/>
  <c r="S74" i="16"/>
  <c r="T74" i="16" s="1"/>
  <c r="F27" i="6"/>
  <c r="F28" i="6"/>
  <c r="F40" i="6"/>
  <c r="F65" i="6"/>
  <c r="F17" i="6"/>
  <c r="F18" i="6"/>
  <c r="O17" i="6"/>
  <c r="A17" i="6"/>
  <c r="E17" i="6" s="1"/>
  <c r="F52" i="6"/>
  <c r="F39" i="6"/>
  <c r="F51" i="6"/>
  <c r="F63" i="6"/>
  <c r="F75" i="6"/>
  <c r="F26" i="6"/>
  <c r="F38" i="6"/>
  <c r="F50" i="6"/>
  <c r="F62" i="6"/>
  <c r="F74" i="6"/>
  <c r="F25" i="6"/>
  <c r="F37" i="6"/>
  <c r="F49" i="6"/>
  <c r="F61" i="6"/>
  <c r="F73" i="6"/>
  <c r="F24" i="6"/>
  <c r="F36" i="6"/>
  <c r="F48" i="6"/>
  <c r="F60" i="6"/>
  <c r="F72" i="6"/>
  <c r="F46" i="6"/>
  <c r="F58" i="6"/>
  <c r="F70" i="6"/>
  <c r="F22" i="6"/>
  <c r="F33" i="6"/>
  <c r="F45" i="6"/>
  <c r="F57" i="6"/>
  <c r="F69" i="6"/>
  <c r="F34" i="6"/>
  <c r="F20" i="6"/>
  <c r="F32" i="6"/>
  <c r="F44" i="6"/>
  <c r="F56" i="6"/>
  <c r="F68" i="6"/>
  <c r="F23" i="6"/>
  <c r="F35" i="6"/>
  <c r="F59" i="6"/>
  <c r="F71" i="6"/>
  <c r="F31" i="6"/>
  <c r="F43" i="6"/>
  <c r="F55" i="6"/>
  <c r="F67" i="6"/>
  <c r="F47" i="6"/>
  <c r="F21" i="6"/>
  <c r="F30" i="6"/>
  <c r="F42" i="6"/>
  <c r="F54" i="6"/>
  <c r="F66" i="6"/>
  <c r="F29" i="6"/>
  <c r="F41" i="6"/>
  <c r="F53" i="6"/>
  <c r="Q75" i="16" l="1"/>
  <c r="S75" i="16"/>
  <c r="T75" i="16" s="1"/>
  <c r="E20" i="8"/>
  <c r="J17" i="6"/>
  <c r="H7" i="16" s="1"/>
  <c r="E16" i="8" s="1"/>
  <c r="I17" i="6"/>
  <c r="A18" i="6"/>
  <c r="S76" i="16" l="1"/>
  <c r="T76" i="16" s="1"/>
  <c r="Q76" i="16"/>
  <c r="G7" i="16"/>
  <c r="Z8" i="16" s="1"/>
  <c r="AC8" i="16" s="1"/>
  <c r="E14" i="8"/>
  <c r="J7" i="16"/>
  <c r="V7" i="16" s="1"/>
  <c r="A19" i="6"/>
  <c r="A20" i="6" s="1"/>
  <c r="E18" i="6"/>
  <c r="O18" i="6"/>
  <c r="F20" i="8" s="1"/>
  <c r="Q17" i="6"/>
  <c r="K18" i="6"/>
  <c r="S77" i="16" l="1"/>
  <c r="T77" i="16" s="1"/>
  <c r="Q77" i="16"/>
  <c r="E11" i="8"/>
  <c r="E10" i="8" s="1"/>
  <c r="E34" i="8" s="1"/>
  <c r="I8" i="16"/>
  <c r="J18" i="6"/>
  <c r="A21" i="6"/>
  <c r="A22" i="6" s="1"/>
  <c r="E20" i="6"/>
  <c r="Q18" i="6"/>
  <c r="I18" i="6"/>
  <c r="M19" i="6"/>
  <c r="O19" i="6" s="1"/>
  <c r="G20" i="8" s="1"/>
  <c r="K19" i="6"/>
  <c r="E19" i="6"/>
  <c r="S78" i="16" l="1"/>
  <c r="T78" i="16" s="1"/>
  <c r="Q78" i="16"/>
  <c r="F15" i="8"/>
  <c r="K20" i="6"/>
  <c r="J20" i="6"/>
  <c r="I19" i="6"/>
  <c r="M20" i="6"/>
  <c r="N20" i="6"/>
  <c r="J19" i="6"/>
  <c r="S79" i="16" l="1"/>
  <c r="T79" i="16" s="1"/>
  <c r="Q79" i="16"/>
  <c r="H16" i="8"/>
  <c r="Q19" i="6"/>
  <c r="O20" i="6"/>
  <c r="E21" i="6"/>
  <c r="J21" i="6" s="1"/>
  <c r="E22" i="6"/>
  <c r="K21" i="6"/>
  <c r="I20" i="6"/>
  <c r="N21" i="6"/>
  <c r="O21" i="6"/>
  <c r="I20" i="8" s="1"/>
  <c r="Q80" i="16" l="1"/>
  <c r="S80" i="16"/>
  <c r="T80" i="16" s="1"/>
  <c r="Q20" i="6"/>
  <c r="H20" i="8"/>
  <c r="Q21" i="6"/>
  <c r="A23" i="6"/>
  <c r="E23" i="6" s="1"/>
  <c r="N22" i="6"/>
  <c r="K22" i="6"/>
  <c r="J22" i="6"/>
  <c r="I21" i="6"/>
  <c r="O22" i="6"/>
  <c r="K20" i="8" s="1"/>
  <c r="S81" i="16" l="1"/>
  <c r="T81" i="16" s="1"/>
  <c r="Q81" i="16"/>
  <c r="J20" i="8"/>
  <c r="A24" i="6"/>
  <c r="Q22" i="6"/>
  <c r="N23" i="6"/>
  <c r="I22" i="6"/>
  <c r="K23" i="6"/>
  <c r="J23" i="6"/>
  <c r="M23" i="6"/>
  <c r="O23" i="6" s="1"/>
  <c r="L20" i="8" s="1"/>
  <c r="S82" i="16" l="1"/>
  <c r="T82" i="16" s="1"/>
  <c r="Q82" i="16"/>
  <c r="Q23" i="6"/>
  <c r="E24" i="6"/>
  <c r="J24" i="6" s="1"/>
  <c r="A25" i="6"/>
  <c r="K24" i="6"/>
  <c r="N24" i="6"/>
  <c r="I23" i="6"/>
  <c r="M24" i="6"/>
  <c r="O24" i="6" s="1"/>
  <c r="M20" i="8" l="1"/>
  <c r="N20" i="8" s="1"/>
  <c r="Q83" i="16"/>
  <c r="S83" i="16"/>
  <c r="T83" i="16" s="1"/>
  <c r="Q24" i="6"/>
  <c r="A26" i="6"/>
  <c r="E25" i="6"/>
  <c r="J25" i="6" s="1"/>
  <c r="I24" i="6"/>
  <c r="N25" i="6"/>
  <c r="K25" i="6"/>
  <c r="M25" i="6"/>
  <c r="O25" i="6" s="1"/>
  <c r="O20" i="8" s="1"/>
  <c r="Q84" i="16" l="1"/>
  <c r="S84" i="16"/>
  <c r="T84" i="16" s="1"/>
  <c r="Q25" i="6"/>
  <c r="K26" i="6"/>
  <c r="I25" i="6"/>
  <c r="A27" i="6"/>
  <c r="E26" i="6"/>
  <c r="Q85" i="16" l="1"/>
  <c r="S85" i="16"/>
  <c r="T85" i="16" s="1"/>
  <c r="O26" i="6"/>
  <c r="N27" i="6"/>
  <c r="M27" i="6"/>
  <c r="K27" i="6"/>
  <c r="I26" i="6"/>
  <c r="A28" i="6"/>
  <c r="E27" i="6"/>
  <c r="J26" i="6"/>
  <c r="P20" i="8" l="1"/>
  <c r="Q86" i="16"/>
  <c r="S86" i="16"/>
  <c r="T86" i="16" s="1"/>
  <c r="O27" i="6"/>
  <c r="Q20" i="8" s="1"/>
  <c r="Q26" i="6"/>
  <c r="N28" i="6"/>
  <c r="M28" i="6"/>
  <c r="K28" i="6"/>
  <c r="I27" i="6"/>
  <c r="E28" i="6"/>
  <c r="A29" i="6"/>
  <c r="J27" i="6"/>
  <c r="R20" i="8" l="1"/>
  <c r="Q87" i="16"/>
  <c r="S87" i="16"/>
  <c r="T87" i="16" s="1"/>
  <c r="O28" i="6"/>
  <c r="S20" i="8" s="1"/>
  <c r="Q27" i="6"/>
  <c r="E29" i="6"/>
  <c r="J29" i="6" s="1"/>
  <c r="A30" i="6"/>
  <c r="N29" i="6"/>
  <c r="M29" i="6"/>
  <c r="K29" i="6"/>
  <c r="I28" i="6"/>
  <c r="J28" i="6"/>
  <c r="Q88" i="16" l="1"/>
  <c r="S88" i="16"/>
  <c r="T88" i="16" s="1"/>
  <c r="Q28" i="6"/>
  <c r="O29" i="6"/>
  <c r="T20" i="8" s="1"/>
  <c r="E30" i="6"/>
  <c r="J30" i="6" s="1"/>
  <c r="A31" i="6"/>
  <c r="N30" i="6"/>
  <c r="M30" i="6"/>
  <c r="O30" i="6" s="1"/>
  <c r="U20" i="8" s="1"/>
  <c r="K30" i="6"/>
  <c r="I29" i="6"/>
  <c r="V20" i="8" l="1"/>
  <c r="Q29" i="6"/>
  <c r="Q89" i="16"/>
  <c r="S89" i="16"/>
  <c r="T89" i="16" s="1"/>
  <c r="Q30" i="6"/>
  <c r="E31" i="6"/>
  <c r="A32" i="6"/>
  <c r="J31" i="6"/>
  <c r="I30" i="6"/>
  <c r="N31" i="6"/>
  <c r="O31" i="6"/>
  <c r="W20" i="8" s="1"/>
  <c r="K31" i="6"/>
  <c r="Q90" i="16" l="1"/>
  <c r="S90" i="16"/>
  <c r="T90" i="16" s="1"/>
  <c r="E32" i="6"/>
  <c r="A33" i="6"/>
  <c r="Q31" i="6"/>
  <c r="K32" i="6"/>
  <c r="J32" i="6"/>
  <c r="I31" i="6"/>
  <c r="N32" i="6"/>
  <c r="M32" i="6"/>
  <c r="Q91" i="16" l="1"/>
  <c r="S91" i="16"/>
  <c r="T91" i="16" s="1"/>
  <c r="O32" i="6"/>
  <c r="X20" i="8" s="1"/>
  <c r="E33" i="6"/>
  <c r="J33" i="6" s="1"/>
  <c r="A34" i="6"/>
  <c r="K33" i="6"/>
  <c r="I32" i="6"/>
  <c r="N33" i="6"/>
  <c r="Q32" i="6" l="1"/>
  <c r="Q92" i="16"/>
  <c r="S92" i="16"/>
  <c r="T92" i="16" s="1"/>
  <c r="O33" i="6"/>
  <c r="Q33" i="6" s="1"/>
  <c r="E34" i="6"/>
  <c r="A35" i="6"/>
  <c r="N34" i="6"/>
  <c r="K34" i="6"/>
  <c r="J34" i="6"/>
  <c r="I33" i="6"/>
  <c r="M34" i="6"/>
  <c r="Y20" i="8" l="1"/>
  <c r="AA20" i="8"/>
  <c r="Z20" i="8"/>
  <c r="Q93" i="16"/>
  <c r="S93" i="16"/>
  <c r="T93" i="16" s="1"/>
  <c r="O34" i="6"/>
  <c r="Q34" i="6" s="1"/>
  <c r="E35" i="6"/>
  <c r="J35" i="6" s="1"/>
  <c r="A36" i="6"/>
  <c r="N35" i="6"/>
  <c r="I34" i="6"/>
  <c r="K35" i="6"/>
  <c r="M35" i="6"/>
  <c r="O35" i="6" s="1"/>
  <c r="Q94" i="16" l="1"/>
  <c r="S94" i="16"/>
  <c r="T94" i="16" s="1"/>
  <c r="Q35" i="6"/>
  <c r="E36" i="6"/>
  <c r="J36" i="6" s="1"/>
  <c r="A37" i="6"/>
  <c r="I35" i="6"/>
  <c r="N36" i="6"/>
  <c r="K36" i="6"/>
  <c r="M36" i="6"/>
  <c r="O36" i="6" s="1"/>
  <c r="Q95" i="16" l="1"/>
  <c r="S95" i="16"/>
  <c r="T95" i="16" s="1"/>
  <c r="A38" i="6"/>
  <c r="E37" i="6"/>
  <c r="Q36" i="6"/>
  <c r="N37" i="6"/>
  <c r="K37" i="6"/>
  <c r="I36" i="6"/>
  <c r="M37" i="6"/>
  <c r="O37" i="6" s="1"/>
  <c r="Q96" i="16" l="1"/>
  <c r="S96" i="16"/>
  <c r="T96" i="16" s="1"/>
  <c r="K38" i="6"/>
  <c r="N38" i="6"/>
  <c r="I37" i="6"/>
  <c r="M38" i="6"/>
  <c r="O38" i="6" s="1"/>
  <c r="J37" i="6"/>
  <c r="A39" i="6"/>
  <c r="E38" i="6"/>
  <c r="Q97" i="16" l="1"/>
  <c r="S97" i="16"/>
  <c r="T97" i="16" s="1"/>
  <c r="Q37" i="6"/>
  <c r="M39" i="6"/>
  <c r="N39" i="6"/>
  <c r="K39" i="6"/>
  <c r="I38" i="6"/>
  <c r="A40" i="6"/>
  <c r="E39" i="6"/>
  <c r="J38" i="6"/>
  <c r="Q98" i="16" l="1"/>
  <c r="S98" i="16"/>
  <c r="T98" i="16" s="1"/>
  <c r="Q38" i="6"/>
  <c r="N40" i="6"/>
  <c r="M40" i="6"/>
  <c r="O40" i="6" s="1"/>
  <c r="K40" i="6"/>
  <c r="I39" i="6"/>
  <c r="E40" i="6"/>
  <c r="J40" i="6" s="1"/>
  <c r="A41" i="6"/>
  <c r="J39" i="6"/>
  <c r="O39" i="6"/>
  <c r="Q99" i="16" l="1"/>
  <c r="S99" i="16"/>
  <c r="T99" i="16" s="1"/>
  <c r="Q40" i="6"/>
  <c r="Q39" i="6"/>
  <c r="E41" i="6"/>
  <c r="J41" i="6" s="1"/>
  <c r="A42" i="6"/>
  <c r="N41" i="6"/>
  <c r="M41" i="6"/>
  <c r="O41" i="6" s="1"/>
  <c r="K41" i="6"/>
  <c r="I40" i="6"/>
  <c r="Q100" i="16" l="1"/>
  <c r="S100" i="16"/>
  <c r="T100" i="16" s="1"/>
  <c r="Q41" i="6"/>
  <c r="E42" i="6"/>
  <c r="A43" i="6"/>
  <c r="N42" i="6"/>
  <c r="M42" i="6"/>
  <c r="O42" i="6" s="1"/>
  <c r="K42" i="6"/>
  <c r="J42" i="6"/>
  <c r="I41" i="6"/>
  <c r="Q101" i="16" l="1"/>
  <c r="S101" i="16"/>
  <c r="T101" i="16" s="1"/>
  <c r="Q42" i="6"/>
  <c r="A44" i="6"/>
  <c r="E43" i="6"/>
  <c r="J43" i="6" s="1"/>
  <c r="H33" i="16" s="1"/>
  <c r="I42" i="6"/>
  <c r="N43" i="6"/>
  <c r="M43" i="6"/>
  <c r="K43" i="6"/>
  <c r="S102" i="16" l="1"/>
  <c r="T102" i="16" s="1"/>
  <c r="Q102" i="16"/>
  <c r="O43" i="6"/>
  <c r="Q43" i="6" s="1"/>
  <c r="K44" i="6"/>
  <c r="I43" i="6"/>
  <c r="N44" i="6"/>
  <c r="M44" i="6"/>
  <c r="O44" i="6" s="1"/>
  <c r="E44" i="6"/>
  <c r="A45" i="6"/>
  <c r="S103" i="16" l="1"/>
  <c r="T103" i="16" s="1"/>
  <c r="Q103" i="16"/>
  <c r="E45" i="6"/>
  <c r="J45" i="6" s="1"/>
  <c r="A46" i="6"/>
  <c r="K45" i="6"/>
  <c r="I44" i="6"/>
  <c r="N45" i="6"/>
  <c r="M45" i="6"/>
  <c r="O45" i="6" s="1"/>
  <c r="J44" i="6"/>
  <c r="Q104" i="16" l="1"/>
  <c r="S104" i="16"/>
  <c r="T104" i="16" s="1"/>
  <c r="Q44" i="6"/>
  <c r="E46" i="6"/>
  <c r="A47" i="6"/>
  <c r="Q45" i="6"/>
  <c r="N46" i="6"/>
  <c r="K46" i="6"/>
  <c r="J46" i="6"/>
  <c r="I45" i="6"/>
  <c r="M46" i="6"/>
  <c r="Q105" i="16" l="1"/>
  <c r="S105" i="16"/>
  <c r="T105" i="16" s="1"/>
  <c r="O46" i="6"/>
  <c r="Q46" i="6"/>
  <c r="E47" i="6"/>
  <c r="J47" i="6" s="1"/>
  <c r="A48" i="6"/>
  <c r="N47" i="6"/>
  <c r="K47" i="6"/>
  <c r="I46" i="6"/>
  <c r="M47" i="6"/>
  <c r="Q106" i="16" l="1"/>
  <c r="S106" i="16"/>
  <c r="T106" i="16" s="1"/>
  <c r="O47" i="6"/>
  <c r="Q47" i="6"/>
  <c r="E48" i="6"/>
  <c r="A49" i="6"/>
  <c r="N48" i="6"/>
  <c r="K48" i="6"/>
  <c r="J48" i="6"/>
  <c r="I47" i="6"/>
  <c r="M48" i="6"/>
  <c r="Q107" i="16" l="1"/>
  <c r="S107" i="16"/>
  <c r="T107" i="16" s="1"/>
  <c r="O48" i="6"/>
  <c r="Q48" i="6"/>
  <c r="A50" i="6"/>
  <c r="E49" i="6"/>
  <c r="J49" i="6" s="1"/>
  <c r="I48" i="6"/>
  <c r="N49" i="6"/>
  <c r="K49" i="6"/>
  <c r="M49" i="6"/>
  <c r="Q108" i="16" l="1"/>
  <c r="S108" i="16"/>
  <c r="T108" i="16" s="1"/>
  <c r="O49" i="6"/>
  <c r="Q49" i="6" s="1"/>
  <c r="K50" i="6"/>
  <c r="N50" i="6"/>
  <c r="I49" i="6"/>
  <c r="M50" i="6"/>
  <c r="O50" i="6" s="1"/>
  <c r="A51" i="6"/>
  <c r="E50" i="6"/>
  <c r="S109" i="16" l="1"/>
  <c r="T109" i="16" s="1"/>
  <c r="Q109" i="16"/>
  <c r="M51" i="6"/>
  <c r="N51" i="6"/>
  <c r="K51" i="6"/>
  <c r="I50" i="6"/>
  <c r="A52" i="6"/>
  <c r="E51" i="6"/>
  <c r="J51" i="6" s="1"/>
  <c r="J50" i="6"/>
  <c r="Q110" i="16" l="1"/>
  <c r="S110" i="16"/>
  <c r="T110" i="16" s="1"/>
  <c r="Q50" i="6"/>
  <c r="O51" i="6"/>
  <c r="Q51" i="6" s="1"/>
  <c r="N52" i="6"/>
  <c r="M52" i="6"/>
  <c r="K52" i="6"/>
  <c r="I51" i="6"/>
  <c r="E52" i="6"/>
  <c r="A53" i="6"/>
  <c r="Q111" i="16" l="1"/>
  <c r="S111" i="16"/>
  <c r="T111" i="16" s="1"/>
  <c r="O52" i="6"/>
  <c r="E53" i="6"/>
  <c r="A54" i="6"/>
  <c r="N53" i="6"/>
  <c r="M53" i="6"/>
  <c r="K53" i="6"/>
  <c r="J53" i="6"/>
  <c r="I52" i="6"/>
  <c r="J52" i="6"/>
  <c r="Q112" i="16" l="1"/>
  <c r="S112" i="16"/>
  <c r="T112" i="16" s="1"/>
  <c r="Q52" i="6"/>
  <c r="O53" i="6"/>
  <c r="Q53" i="6" s="1"/>
  <c r="E54" i="6"/>
  <c r="J54" i="6" s="1"/>
  <c r="A55" i="6"/>
  <c r="N54" i="6"/>
  <c r="M54" i="6"/>
  <c r="K54" i="6"/>
  <c r="I53" i="6"/>
  <c r="Q113" i="16" l="1"/>
  <c r="S113" i="16"/>
  <c r="T113" i="16" s="1"/>
  <c r="O54" i="6"/>
  <c r="Q54" i="6"/>
  <c r="A56" i="6"/>
  <c r="E55" i="6"/>
  <c r="J55" i="6" s="1"/>
  <c r="I54" i="6"/>
  <c r="N55" i="6"/>
  <c r="M55" i="6"/>
  <c r="K55" i="6"/>
  <c r="S114" i="16" l="1"/>
  <c r="T114" i="16" s="1"/>
  <c r="Q114" i="16"/>
  <c r="O55" i="6"/>
  <c r="Q55" i="6" s="1"/>
  <c r="K56" i="6"/>
  <c r="I55" i="6"/>
  <c r="N56" i="6"/>
  <c r="M56" i="6"/>
  <c r="O56" i="6" s="1"/>
  <c r="E56" i="6"/>
  <c r="A57" i="6"/>
  <c r="Q115" i="16" l="1"/>
  <c r="S115" i="16"/>
  <c r="T115" i="16" s="1"/>
  <c r="E57" i="6"/>
  <c r="A58" i="6"/>
  <c r="K57" i="6"/>
  <c r="J57" i="6"/>
  <c r="I56" i="6"/>
  <c r="N57" i="6"/>
  <c r="M57" i="6"/>
  <c r="J56" i="6"/>
  <c r="S116" i="16" l="1"/>
  <c r="T116" i="16" s="1"/>
  <c r="Q116" i="16"/>
  <c r="Q56" i="6"/>
  <c r="O57" i="6"/>
  <c r="Q57" i="6" s="1"/>
  <c r="E58" i="6"/>
  <c r="J58" i="6" s="1"/>
  <c r="A59" i="6"/>
  <c r="N58" i="6"/>
  <c r="K58" i="6"/>
  <c r="I57" i="6"/>
  <c r="M58" i="6"/>
  <c r="Q117" i="16" l="1"/>
  <c r="S117" i="16"/>
  <c r="T117" i="16" s="1"/>
  <c r="O58" i="6"/>
  <c r="Q58" i="6" s="1"/>
  <c r="E59" i="6"/>
  <c r="J59" i="6" s="1"/>
  <c r="A60" i="6"/>
  <c r="N59" i="6"/>
  <c r="K59" i="6"/>
  <c r="I58" i="6"/>
  <c r="M59" i="6"/>
  <c r="Q118" i="16" l="1"/>
  <c r="S118" i="16"/>
  <c r="T118" i="16" s="1"/>
  <c r="O59" i="6"/>
  <c r="Q59" i="6"/>
  <c r="E60" i="6"/>
  <c r="A61" i="6"/>
  <c r="N60" i="6"/>
  <c r="K60" i="6"/>
  <c r="J60" i="6"/>
  <c r="I59" i="6"/>
  <c r="M60" i="6"/>
  <c r="Q119" i="16" l="1"/>
  <c r="S119" i="16"/>
  <c r="T119" i="16" s="1"/>
  <c r="O60" i="6"/>
  <c r="Q60" i="6"/>
  <c r="A62" i="6"/>
  <c r="E61" i="6"/>
  <c r="N61" i="6"/>
  <c r="I60" i="6"/>
  <c r="J61" i="6"/>
  <c r="K61" i="6"/>
  <c r="M61" i="6"/>
  <c r="Q120" i="16" l="1"/>
  <c r="S120" i="16"/>
  <c r="T120" i="16" s="1"/>
  <c r="O61" i="6"/>
  <c r="K62" i="6"/>
  <c r="N62" i="6"/>
  <c r="I61" i="6"/>
  <c r="M62" i="6"/>
  <c r="O62" i="6" s="1"/>
  <c r="Q61" i="6"/>
  <c r="A63" i="6"/>
  <c r="E62" i="6"/>
  <c r="J62" i="6" s="1"/>
  <c r="Q121" i="16" l="1"/>
  <c r="S121" i="16"/>
  <c r="T121" i="16" s="1"/>
  <c r="Q62" i="6"/>
  <c r="A64" i="6"/>
  <c r="E63" i="6"/>
  <c r="M63" i="6"/>
  <c r="N63" i="6"/>
  <c r="K63" i="6"/>
  <c r="J63" i="6"/>
  <c r="I62" i="6"/>
  <c r="S122" i="16" l="1"/>
  <c r="T122" i="16" s="1"/>
  <c r="Q122" i="16"/>
  <c r="O63" i="6"/>
  <c r="Q63" i="6" s="1"/>
  <c r="N64" i="6"/>
  <c r="M64" i="6"/>
  <c r="O64" i="6" s="1"/>
  <c r="K64" i="6"/>
  <c r="I63" i="6"/>
  <c r="E64" i="6"/>
  <c r="A65" i="6"/>
  <c r="Q123" i="16" l="1"/>
  <c r="S123" i="16"/>
  <c r="T123" i="16" s="1"/>
  <c r="E65" i="6"/>
  <c r="A66" i="6"/>
  <c r="N65" i="6"/>
  <c r="M65" i="6"/>
  <c r="K65" i="6"/>
  <c r="J65" i="6"/>
  <c r="I64" i="6"/>
  <c r="J64" i="6"/>
  <c r="Q124" i="16" l="1"/>
  <c r="S124" i="16"/>
  <c r="T124" i="16" s="1"/>
  <c r="Q64" i="6"/>
  <c r="O65" i="6"/>
  <c r="Q65" i="6"/>
  <c r="E66" i="6"/>
  <c r="J66" i="6" s="1"/>
  <c r="A67" i="6"/>
  <c r="N66" i="6"/>
  <c r="M66" i="6"/>
  <c r="K66" i="6"/>
  <c r="I65" i="6"/>
  <c r="S125" i="16" l="1"/>
  <c r="T125" i="16" s="1"/>
  <c r="Q125" i="16"/>
  <c r="O66" i="6"/>
  <c r="Q66" i="6" s="1"/>
  <c r="A68" i="6"/>
  <c r="E67" i="6"/>
  <c r="I66" i="6"/>
  <c r="N67" i="6"/>
  <c r="M67" i="6"/>
  <c r="O67" i="6" s="1"/>
  <c r="K67" i="6"/>
  <c r="K68" i="6" l="1"/>
  <c r="I67" i="6"/>
  <c r="N68" i="6"/>
  <c r="M68" i="6"/>
  <c r="O68" i="6" s="1"/>
  <c r="J67" i="6"/>
  <c r="E68" i="6"/>
  <c r="A69" i="6"/>
  <c r="Q67" i="6" l="1"/>
  <c r="E69" i="6"/>
  <c r="A70" i="6"/>
  <c r="K69" i="6"/>
  <c r="J69" i="6"/>
  <c r="I68" i="6"/>
  <c r="N69" i="6"/>
  <c r="M69" i="6"/>
  <c r="O69" i="6" s="1"/>
  <c r="J68" i="6"/>
  <c r="Q68" i="6" l="1"/>
  <c r="Q69" i="6"/>
  <c r="E70" i="6"/>
  <c r="A71" i="6"/>
  <c r="N70" i="6"/>
  <c r="K70" i="6"/>
  <c r="J70" i="6"/>
  <c r="I69" i="6"/>
  <c r="M70" i="6"/>
  <c r="O70" i="6" s="1"/>
  <c r="F17"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G22" i="5"/>
  <c r="G23" i="5"/>
  <c r="G24" i="5"/>
  <c r="G25" i="5"/>
  <c r="O19" i="8" s="1"/>
  <c r="G26" i="5"/>
  <c r="G27" i="5"/>
  <c r="Q19" i="8" s="1"/>
  <c r="G28" i="5"/>
  <c r="S19" i="8" s="1"/>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D16" i="5"/>
  <c r="L19" i="8" l="1"/>
  <c r="K19" i="8"/>
  <c r="P19" i="8"/>
  <c r="P18" i="8" s="1"/>
  <c r="Y19" i="8"/>
  <c r="X19" i="8"/>
  <c r="W19" i="8"/>
  <c r="M19" i="8"/>
  <c r="M18" i="8" s="1"/>
  <c r="AA19" i="8"/>
  <c r="AA18" i="8" s="1"/>
  <c r="U19" i="8"/>
  <c r="U18" i="8" s="1"/>
  <c r="T19" i="8"/>
  <c r="T18" i="8" s="1"/>
  <c r="Y18" i="8"/>
  <c r="X18" i="8"/>
  <c r="S18" i="8"/>
  <c r="O18" i="8"/>
  <c r="L18" i="8"/>
  <c r="Q70" i="6"/>
  <c r="E71" i="6"/>
  <c r="A72" i="6"/>
  <c r="N71" i="6"/>
  <c r="K71" i="6"/>
  <c r="J71" i="6"/>
  <c r="H61" i="16" s="1"/>
  <c r="I70" i="6"/>
  <c r="M71" i="6"/>
  <c r="O71" i="6" s="1"/>
  <c r="F136" i="5"/>
  <c r="B136" i="5"/>
  <c r="C136" i="5" s="1"/>
  <c r="F135" i="5"/>
  <c r="B135" i="5"/>
  <c r="C135" i="5" s="1"/>
  <c r="F134" i="5"/>
  <c r="B134" i="5"/>
  <c r="C134" i="5" s="1"/>
  <c r="F133" i="5"/>
  <c r="B133" i="5"/>
  <c r="C133" i="5" s="1"/>
  <c r="F132" i="5"/>
  <c r="B132" i="5"/>
  <c r="C132" i="5" s="1"/>
  <c r="F131" i="5"/>
  <c r="B131" i="5"/>
  <c r="C131" i="5" s="1"/>
  <c r="F130" i="5"/>
  <c r="B130" i="5"/>
  <c r="C130" i="5" s="1"/>
  <c r="F129" i="5"/>
  <c r="B129" i="5"/>
  <c r="C129" i="5" s="1"/>
  <c r="F128" i="5"/>
  <c r="B128" i="5"/>
  <c r="C128" i="5" s="1"/>
  <c r="F127" i="5"/>
  <c r="B127" i="5"/>
  <c r="C127" i="5" s="1"/>
  <c r="F126" i="5"/>
  <c r="B126" i="5"/>
  <c r="C126" i="5" s="1"/>
  <c r="F125" i="5"/>
  <c r="B125" i="5"/>
  <c r="C125" i="5" s="1"/>
  <c r="F124" i="5"/>
  <c r="B124" i="5"/>
  <c r="C124" i="5" s="1"/>
  <c r="F123" i="5"/>
  <c r="B123" i="5"/>
  <c r="C123" i="5" s="1"/>
  <c r="F122" i="5"/>
  <c r="B122" i="5"/>
  <c r="C122" i="5" s="1"/>
  <c r="F121" i="5"/>
  <c r="B121" i="5"/>
  <c r="C121" i="5" s="1"/>
  <c r="F120" i="5"/>
  <c r="B120" i="5"/>
  <c r="C120" i="5" s="1"/>
  <c r="F119" i="5"/>
  <c r="B119" i="5"/>
  <c r="C119" i="5" s="1"/>
  <c r="F118" i="5"/>
  <c r="B118" i="5"/>
  <c r="C118" i="5" s="1"/>
  <c r="F117" i="5"/>
  <c r="B117" i="5"/>
  <c r="C117" i="5" s="1"/>
  <c r="F116" i="5"/>
  <c r="B116" i="5"/>
  <c r="C116" i="5" s="1"/>
  <c r="F115" i="5"/>
  <c r="B115" i="5"/>
  <c r="C115" i="5" s="1"/>
  <c r="F114" i="5"/>
  <c r="B114" i="5"/>
  <c r="C114" i="5" s="1"/>
  <c r="F113" i="5"/>
  <c r="B113" i="5"/>
  <c r="C113" i="5" s="1"/>
  <c r="F112" i="5"/>
  <c r="B112" i="5"/>
  <c r="C112" i="5" s="1"/>
  <c r="F111" i="5"/>
  <c r="B111" i="5"/>
  <c r="C111" i="5" s="1"/>
  <c r="F110" i="5"/>
  <c r="B110" i="5"/>
  <c r="C110" i="5" s="1"/>
  <c r="F109" i="5"/>
  <c r="B109" i="5"/>
  <c r="C109" i="5" s="1"/>
  <c r="F108" i="5"/>
  <c r="B108" i="5"/>
  <c r="C108" i="5" s="1"/>
  <c r="F107" i="5"/>
  <c r="B107" i="5"/>
  <c r="C107" i="5" s="1"/>
  <c r="F106" i="5"/>
  <c r="B106" i="5"/>
  <c r="C106" i="5" s="1"/>
  <c r="F105" i="5"/>
  <c r="B105" i="5"/>
  <c r="C105" i="5" s="1"/>
  <c r="F104" i="5"/>
  <c r="B104" i="5"/>
  <c r="C104" i="5" s="1"/>
  <c r="F103" i="5"/>
  <c r="B103" i="5"/>
  <c r="C103" i="5" s="1"/>
  <c r="F102" i="5"/>
  <c r="B102" i="5"/>
  <c r="C102" i="5" s="1"/>
  <c r="F101" i="5"/>
  <c r="B101" i="5"/>
  <c r="C101" i="5" s="1"/>
  <c r="F100" i="5"/>
  <c r="B100" i="5"/>
  <c r="C100" i="5" s="1"/>
  <c r="F99" i="5"/>
  <c r="B99" i="5"/>
  <c r="C99" i="5" s="1"/>
  <c r="F98" i="5"/>
  <c r="B98" i="5"/>
  <c r="C98" i="5" s="1"/>
  <c r="F97" i="5"/>
  <c r="B97" i="5"/>
  <c r="C97" i="5" s="1"/>
  <c r="F96" i="5"/>
  <c r="B96" i="5"/>
  <c r="C96" i="5" s="1"/>
  <c r="F95" i="5"/>
  <c r="B95" i="5"/>
  <c r="C95" i="5" s="1"/>
  <c r="F94" i="5"/>
  <c r="B94" i="5"/>
  <c r="C94" i="5" s="1"/>
  <c r="F93" i="5"/>
  <c r="B93" i="5"/>
  <c r="C93" i="5" s="1"/>
  <c r="F92" i="5"/>
  <c r="B92" i="5"/>
  <c r="C92" i="5" s="1"/>
  <c r="F91" i="5"/>
  <c r="B91" i="5"/>
  <c r="C91" i="5" s="1"/>
  <c r="F90" i="5"/>
  <c r="B90" i="5"/>
  <c r="C90" i="5" s="1"/>
  <c r="F89" i="5"/>
  <c r="B89" i="5"/>
  <c r="C89" i="5" s="1"/>
  <c r="F88" i="5"/>
  <c r="B88" i="5"/>
  <c r="C88" i="5" s="1"/>
  <c r="F87" i="5"/>
  <c r="B87" i="5"/>
  <c r="C87" i="5" s="1"/>
  <c r="F86" i="5"/>
  <c r="B86" i="5"/>
  <c r="C86" i="5" s="1"/>
  <c r="F85" i="5"/>
  <c r="B85" i="5"/>
  <c r="C85" i="5" s="1"/>
  <c r="F84" i="5"/>
  <c r="B84" i="5"/>
  <c r="C84" i="5" s="1"/>
  <c r="F83" i="5"/>
  <c r="B83" i="5"/>
  <c r="C83" i="5" s="1"/>
  <c r="F82" i="5"/>
  <c r="B82" i="5"/>
  <c r="C82" i="5" s="1"/>
  <c r="F81" i="5"/>
  <c r="B81" i="5"/>
  <c r="C81" i="5" s="1"/>
  <c r="F80" i="5"/>
  <c r="B80" i="5"/>
  <c r="C80" i="5" s="1"/>
  <c r="F79" i="5"/>
  <c r="B79" i="5"/>
  <c r="C79" i="5" s="1"/>
  <c r="F78" i="5"/>
  <c r="B78" i="5"/>
  <c r="C78" i="5" s="1"/>
  <c r="F77" i="5"/>
  <c r="B77" i="5"/>
  <c r="C77" i="5" s="1"/>
  <c r="F76" i="5"/>
  <c r="B76" i="5"/>
  <c r="C76" i="5" s="1"/>
  <c r="I75" i="5"/>
  <c r="F75" i="5"/>
  <c r="B75" i="5"/>
  <c r="C75" i="5" s="1"/>
  <c r="I74" i="5"/>
  <c r="F74" i="5"/>
  <c r="B74" i="5"/>
  <c r="C74" i="5" s="1"/>
  <c r="I73" i="5"/>
  <c r="F73" i="5"/>
  <c r="B73" i="5"/>
  <c r="C73" i="5" s="1"/>
  <c r="I72" i="5"/>
  <c r="F72" i="5"/>
  <c r="B72" i="5"/>
  <c r="C72" i="5" s="1"/>
  <c r="I71" i="5"/>
  <c r="F71" i="5"/>
  <c r="B71" i="5"/>
  <c r="C71" i="5" s="1"/>
  <c r="I70" i="5"/>
  <c r="H60" i="16" s="1"/>
  <c r="F70" i="5"/>
  <c r="B70" i="5"/>
  <c r="C70" i="5" s="1"/>
  <c r="I69" i="5"/>
  <c r="H59" i="16" s="1"/>
  <c r="F69" i="5"/>
  <c r="B69" i="5"/>
  <c r="C69" i="5" s="1"/>
  <c r="I68" i="5"/>
  <c r="H58" i="16" s="1"/>
  <c r="F68" i="5"/>
  <c r="B68" i="5"/>
  <c r="C68" i="5" s="1"/>
  <c r="I67" i="5"/>
  <c r="H57" i="16" s="1"/>
  <c r="F67" i="5"/>
  <c r="B67" i="5"/>
  <c r="C67" i="5" s="1"/>
  <c r="I66" i="5"/>
  <c r="H56" i="16" s="1"/>
  <c r="F66" i="5"/>
  <c r="B66" i="5"/>
  <c r="C66" i="5" s="1"/>
  <c r="I65" i="5"/>
  <c r="H55" i="16" s="1"/>
  <c r="F65" i="5"/>
  <c r="B65" i="5"/>
  <c r="C65" i="5" s="1"/>
  <c r="I64" i="5"/>
  <c r="H54" i="16" s="1"/>
  <c r="F64" i="5"/>
  <c r="B64" i="5"/>
  <c r="C64" i="5" s="1"/>
  <c r="I63" i="5"/>
  <c r="H53" i="16" s="1"/>
  <c r="F63" i="5"/>
  <c r="B63" i="5"/>
  <c r="C63" i="5" s="1"/>
  <c r="I62" i="5"/>
  <c r="H52" i="16" s="1"/>
  <c r="F62" i="5"/>
  <c r="B62" i="5"/>
  <c r="C62" i="5" s="1"/>
  <c r="I61" i="5"/>
  <c r="H51" i="16" s="1"/>
  <c r="F61" i="5"/>
  <c r="B61" i="5"/>
  <c r="C61" i="5" s="1"/>
  <c r="I60" i="5"/>
  <c r="H50" i="16" s="1"/>
  <c r="F60" i="5"/>
  <c r="B60" i="5"/>
  <c r="C60" i="5" s="1"/>
  <c r="I59" i="5"/>
  <c r="H49" i="16" s="1"/>
  <c r="F59" i="5"/>
  <c r="B59" i="5"/>
  <c r="C59" i="5" s="1"/>
  <c r="I58" i="5"/>
  <c r="H48" i="16" s="1"/>
  <c r="F58" i="5"/>
  <c r="B58" i="5"/>
  <c r="C58" i="5" s="1"/>
  <c r="I57" i="5"/>
  <c r="H47" i="16" s="1"/>
  <c r="F57" i="5"/>
  <c r="B57" i="5"/>
  <c r="C57" i="5" s="1"/>
  <c r="I56" i="5"/>
  <c r="H46" i="16" s="1"/>
  <c r="F56" i="5"/>
  <c r="B56" i="5"/>
  <c r="C56" i="5" s="1"/>
  <c r="I55" i="5"/>
  <c r="H45" i="16" s="1"/>
  <c r="F55" i="5"/>
  <c r="B55" i="5"/>
  <c r="C55" i="5" s="1"/>
  <c r="I54" i="5"/>
  <c r="H44" i="16" s="1"/>
  <c r="F54" i="5"/>
  <c r="B54" i="5"/>
  <c r="C54" i="5" s="1"/>
  <c r="I53" i="5"/>
  <c r="H43" i="16" s="1"/>
  <c r="F53" i="5"/>
  <c r="B53" i="5"/>
  <c r="C53" i="5" s="1"/>
  <c r="I52" i="5"/>
  <c r="H42" i="16" s="1"/>
  <c r="F52" i="5"/>
  <c r="B52" i="5"/>
  <c r="C52" i="5" s="1"/>
  <c r="I51" i="5"/>
  <c r="H41" i="16" s="1"/>
  <c r="F51" i="5"/>
  <c r="B51" i="5"/>
  <c r="C51" i="5" s="1"/>
  <c r="I50" i="5"/>
  <c r="H40" i="16" s="1"/>
  <c r="F50" i="5"/>
  <c r="B50" i="5"/>
  <c r="C50" i="5" s="1"/>
  <c r="I49" i="5"/>
  <c r="H39" i="16" s="1"/>
  <c r="F49" i="5"/>
  <c r="B49" i="5"/>
  <c r="C49" i="5" s="1"/>
  <c r="I48" i="5"/>
  <c r="H38" i="16" s="1"/>
  <c r="F48" i="5"/>
  <c r="B48" i="5"/>
  <c r="C48" i="5" s="1"/>
  <c r="I47" i="5"/>
  <c r="H37" i="16" s="1"/>
  <c r="F47" i="5"/>
  <c r="B47" i="5"/>
  <c r="C47" i="5" s="1"/>
  <c r="I46" i="5"/>
  <c r="H36" i="16" s="1"/>
  <c r="F46" i="5"/>
  <c r="B46" i="5"/>
  <c r="C46" i="5" s="1"/>
  <c r="I45" i="5"/>
  <c r="H35" i="16" s="1"/>
  <c r="F45" i="5"/>
  <c r="B45" i="5"/>
  <c r="C45" i="5" s="1"/>
  <c r="I44" i="5"/>
  <c r="H34" i="16" s="1"/>
  <c r="F44" i="5"/>
  <c r="B44" i="5"/>
  <c r="C44" i="5" s="1"/>
  <c r="F43" i="5"/>
  <c r="B43" i="5"/>
  <c r="C43" i="5" s="1"/>
  <c r="I42" i="5"/>
  <c r="H32" i="16" s="1"/>
  <c r="F42" i="5"/>
  <c r="B42" i="5"/>
  <c r="C42" i="5" s="1"/>
  <c r="I41" i="5"/>
  <c r="H31" i="16" s="1"/>
  <c r="F41" i="5"/>
  <c r="B41" i="5"/>
  <c r="C41" i="5" s="1"/>
  <c r="I40" i="5"/>
  <c r="H30" i="16" s="1"/>
  <c r="F40" i="5"/>
  <c r="B40" i="5"/>
  <c r="C40" i="5" s="1"/>
  <c r="I39" i="5"/>
  <c r="H29" i="16" s="1"/>
  <c r="F39" i="5"/>
  <c r="B39" i="5"/>
  <c r="C39" i="5" s="1"/>
  <c r="I38" i="5"/>
  <c r="H28" i="16" s="1"/>
  <c r="F38" i="5"/>
  <c r="B38" i="5"/>
  <c r="C38" i="5" s="1"/>
  <c r="I37" i="5"/>
  <c r="H27" i="16" s="1"/>
  <c r="F37" i="5"/>
  <c r="B37" i="5"/>
  <c r="C37" i="5" s="1"/>
  <c r="I36" i="5"/>
  <c r="H26" i="16" s="1"/>
  <c r="F36" i="5"/>
  <c r="B36" i="5"/>
  <c r="C36" i="5" s="1"/>
  <c r="I35" i="5"/>
  <c r="H25" i="16" s="1"/>
  <c r="F35" i="5"/>
  <c r="B35" i="5"/>
  <c r="C35" i="5" s="1"/>
  <c r="I34" i="5"/>
  <c r="H24" i="16" s="1"/>
  <c r="F34" i="5"/>
  <c r="B34" i="5"/>
  <c r="C34" i="5" s="1"/>
  <c r="I33" i="5"/>
  <c r="H23" i="16" s="1"/>
  <c r="F33" i="5"/>
  <c r="B33" i="5"/>
  <c r="C33" i="5" s="1"/>
  <c r="I32" i="5"/>
  <c r="H22" i="16" s="1"/>
  <c r="F32" i="5"/>
  <c r="B32" i="5"/>
  <c r="C32" i="5" s="1"/>
  <c r="I31" i="5"/>
  <c r="H21" i="16" s="1"/>
  <c r="F31" i="5"/>
  <c r="B31" i="5"/>
  <c r="C31" i="5" s="1"/>
  <c r="I30" i="5"/>
  <c r="H20" i="16" s="1"/>
  <c r="F30" i="5"/>
  <c r="B30" i="5"/>
  <c r="C30" i="5" s="1"/>
  <c r="I29" i="5"/>
  <c r="H19" i="16" s="1"/>
  <c r="F29" i="5"/>
  <c r="B29" i="5"/>
  <c r="C29" i="5" s="1"/>
  <c r="I28" i="5"/>
  <c r="H18" i="16" s="1"/>
  <c r="F28" i="5"/>
  <c r="B28" i="5"/>
  <c r="C28" i="5" s="1"/>
  <c r="I27" i="5"/>
  <c r="H17" i="16" s="1"/>
  <c r="F27" i="5"/>
  <c r="B27" i="5"/>
  <c r="C27" i="5" s="1"/>
  <c r="I26" i="5"/>
  <c r="H16" i="16" s="1"/>
  <c r="F26" i="5"/>
  <c r="B26" i="5"/>
  <c r="C26" i="5" s="1"/>
  <c r="I25" i="5"/>
  <c r="H15" i="16" s="1"/>
  <c r="F25" i="5"/>
  <c r="B25" i="5"/>
  <c r="C25" i="5" s="1"/>
  <c r="I24" i="5"/>
  <c r="H14" i="16" s="1"/>
  <c r="F24" i="5"/>
  <c r="B24" i="5"/>
  <c r="C24" i="5" s="1"/>
  <c r="I23" i="5"/>
  <c r="H13" i="16" s="1"/>
  <c r="F23" i="5"/>
  <c r="B23" i="5"/>
  <c r="C23" i="5" s="1"/>
  <c r="I22" i="5"/>
  <c r="F22" i="5"/>
  <c r="B22" i="5"/>
  <c r="C22" i="5" s="1"/>
  <c r="F21" i="5"/>
  <c r="B21" i="5"/>
  <c r="C21" i="5" s="1"/>
  <c r="F20" i="5"/>
  <c r="B20" i="5"/>
  <c r="C20" i="5" s="1"/>
  <c r="I19" i="5"/>
  <c r="F19" i="5"/>
  <c r="B19" i="5"/>
  <c r="C19" i="5" s="1"/>
  <c r="I18" i="5"/>
  <c r="F18" i="5"/>
  <c r="B18" i="5"/>
  <c r="C18" i="5" s="1"/>
  <c r="B17" i="5"/>
  <c r="R19" i="8" l="1"/>
  <c r="V18" i="8"/>
  <c r="Q18" i="8"/>
  <c r="V19" i="8"/>
  <c r="W18" i="8"/>
  <c r="Z18" i="8" s="1"/>
  <c r="Z19" i="8"/>
  <c r="R18" i="8"/>
  <c r="N19" i="8"/>
  <c r="K18" i="8"/>
  <c r="G21" i="5"/>
  <c r="H11" i="16"/>
  <c r="I16" i="8" s="1"/>
  <c r="G36" i="8"/>
  <c r="G20" i="5"/>
  <c r="J20" i="5"/>
  <c r="H8" i="16"/>
  <c r="E36" i="8"/>
  <c r="G19" i="5"/>
  <c r="J19" i="5"/>
  <c r="G18" i="5"/>
  <c r="J18" i="5"/>
  <c r="H12" i="16"/>
  <c r="J36" i="8"/>
  <c r="H9" i="16"/>
  <c r="F36" i="8"/>
  <c r="Q71" i="6"/>
  <c r="E72" i="6"/>
  <c r="J72" i="6" s="1"/>
  <c r="H62" i="16" s="1"/>
  <c r="A73" i="6"/>
  <c r="N72" i="6"/>
  <c r="K72" i="6"/>
  <c r="I71" i="6"/>
  <c r="M72" i="6"/>
  <c r="O72" i="6" s="1"/>
  <c r="N18" i="8" l="1"/>
  <c r="I14" i="8"/>
  <c r="I19" i="8"/>
  <c r="I18" i="8" s="1"/>
  <c r="I40" i="8" s="1"/>
  <c r="N16" i="8"/>
  <c r="G16" i="8"/>
  <c r="E19" i="8"/>
  <c r="E18" i="8" s="1"/>
  <c r="E40" i="8" s="1"/>
  <c r="H19" i="8"/>
  <c r="H18" i="8" s="1"/>
  <c r="F19" i="8"/>
  <c r="F18" i="8" s="1"/>
  <c r="F40" i="8" s="1"/>
  <c r="G19" i="8"/>
  <c r="J8" i="16"/>
  <c r="V8" i="16" s="1"/>
  <c r="G8" i="16"/>
  <c r="F16" i="8"/>
  <c r="N73" i="6"/>
  <c r="I72" i="6"/>
  <c r="K73" i="6"/>
  <c r="M73" i="6"/>
  <c r="O73" i="6" s="1"/>
  <c r="Q72" i="6"/>
  <c r="A74" i="6"/>
  <c r="A75" i="6" s="1"/>
  <c r="E75" i="6" s="1"/>
  <c r="K76" i="6" s="1"/>
  <c r="E73" i="6"/>
  <c r="J73" i="6" s="1"/>
  <c r="J16" i="8" l="1"/>
  <c r="F14" i="8"/>
  <c r="J19" i="8"/>
  <c r="I9" i="16"/>
  <c r="F11" i="8"/>
  <c r="F10" i="8" s="1"/>
  <c r="F34" i="8" s="1"/>
  <c r="Z9" i="16"/>
  <c r="AC9" i="16" s="1"/>
  <c r="G9" i="16"/>
  <c r="G18" i="8"/>
  <c r="J76" i="6"/>
  <c r="Q73" i="6"/>
  <c r="H63" i="16"/>
  <c r="E74" i="6"/>
  <c r="K74" i="6"/>
  <c r="N74" i="6"/>
  <c r="J74" i="6"/>
  <c r="H64" i="16" s="1"/>
  <c r="I73" i="6"/>
  <c r="M74" i="6"/>
  <c r="O74" i="6" s="1"/>
  <c r="J18" i="8" l="1"/>
  <c r="G15" i="8"/>
  <c r="G40" i="8" s="1"/>
  <c r="J9" i="16"/>
  <c r="I10" i="16"/>
  <c r="H15" i="8" s="1"/>
  <c r="H40" i="8" s="1"/>
  <c r="G10" i="16"/>
  <c r="Z11" i="16" s="1"/>
  <c r="AC11" i="16" s="1"/>
  <c r="Z10" i="16"/>
  <c r="AC10" i="16" s="1"/>
  <c r="G11" i="8"/>
  <c r="G10" i="8" s="1"/>
  <c r="G34" i="8" s="1"/>
  <c r="Q74" i="6"/>
  <c r="M75" i="6"/>
  <c r="N75" i="6"/>
  <c r="K75" i="6"/>
  <c r="I74" i="6"/>
  <c r="J10" i="16" l="1"/>
  <c r="V10" i="16" s="1"/>
  <c r="H14" i="8"/>
  <c r="G11" i="16"/>
  <c r="I11" i="16"/>
  <c r="H11" i="8"/>
  <c r="H10" i="8" s="1"/>
  <c r="H34" i="8" s="1"/>
  <c r="G14" i="8"/>
  <c r="O75" i="6"/>
  <c r="N76" i="6"/>
  <c r="F76" i="6" s="1"/>
  <c r="M76" i="6"/>
  <c r="I75" i="6"/>
  <c r="J77" i="6" s="1"/>
  <c r="H66" i="16" s="1"/>
  <c r="J75" i="6"/>
  <c r="Z12" i="16" l="1"/>
  <c r="AC12" i="16" s="1"/>
  <c r="I11" i="8"/>
  <c r="J15" i="8"/>
  <c r="J40" i="8" s="1"/>
  <c r="J14" i="8"/>
  <c r="I12" i="16"/>
  <c r="G12" i="16"/>
  <c r="J11" i="16"/>
  <c r="V11" i="16" s="1"/>
  <c r="O76" i="6"/>
  <c r="Q75" i="6"/>
  <c r="H65" i="16"/>
  <c r="A76" i="6"/>
  <c r="Q76" i="6"/>
  <c r="N37" i="8" l="1"/>
  <c r="E37" i="8"/>
  <c r="J37" i="8"/>
  <c r="F37" i="8"/>
  <c r="G37" i="8"/>
  <c r="Z13" i="16"/>
  <c r="AC13" i="16" s="1"/>
  <c r="K11" i="8"/>
  <c r="K10" i="8" s="1"/>
  <c r="K34" i="8" s="1"/>
  <c r="V12" i="16"/>
  <c r="K15" i="8"/>
  <c r="J11" i="8"/>
  <c r="I10" i="8"/>
  <c r="I34" i="8" s="1"/>
  <c r="G13" i="16"/>
  <c r="I13" i="16"/>
  <c r="A77" i="6"/>
  <c r="A78" i="6" s="1"/>
  <c r="A79" i="6" s="1"/>
  <c r="A80" i="6" s="1"/>
  <c r="A81" i="6" s="1"/>
  <c r="A82" i="6" s="1"/>
  <c r="C5" i="7"/>
  <c r="J13" i="16" l="1"/>
  <c r="V13" i="16" s="1"/>
  <c r="L15" i="8"/>
  <c r="L40" i="8" s="1"/>
  <c r="L11" i="8"/>
  <c r="L10" i="8" s="1"/>
  <c r="L34" i="8" s="1"/>
  <c r="Z14" i="16"/>
  <c r="AC14" i="16" s="1"/>
  <c r="K14" i="8"/>
  <c r="J105" i="7"/>
  <c r="I105" i="7" s="1"/>
  <c r="F105" i="7" s="1"/>
  <c r="J117" i="7"/>
  <c r="I117" i="7" s="1"/>
  <c r="F117" i="7" s="1"/>
  <c r="J53" i="7"/>
  <c r="J65" i="7"/>
  <c r="J77" i="7"/>
  <c r="J89" i="7"/>
  <c r="J45" i="7"/>
  <c r="J70" i="7"/>
  <c r="J71" i="7"/>
  <c r="J72" i="7"/>
  <c r="J49" i="7"/>
  <c r="J85" i="7"/>
  <c r="J114" i="7"/>
  <c r="I114" i="7" s="1"/>
  <c r="F114" i="7" s="1"/>
  <c r="J106" i="7"/>
  <c r="I106" i="7" s="1"/>
  <c r="F106" i="7" s="1"/>
  <c r="J118" i="7"/>
  <c r="I118" i="7" s="1"/>
  <c r="F118" i="7" s="1"/>
  <c r="J54" i="7"/>
  <c r="J66" i="7"/>
  <c r="J78" i="7"/>
  <c r="J90" i="7"/>
  <c r="J82" i="7"/>
  <c r="J62" i="7"/>
  <c r="J107" i="7"/>
  <c r="I107" i="7" s="1"/>
  <c r="F107" i="7" s="1"/>
  <c r="J119" i="7"/>
  <c r="I119" i="7" s="1"/>
  <c r="F119" i="7" s="1"/>
  <c r="J55" i="7"/>
  <c r="J67" i="7"/>
  <c r="J79" i="7"/>
  <c r="J91" i="7"/>
  <c r="J60" i="7"/>
  <c r="J108" i="7"/>
  <c r="I108" i="7" s="1"/>
  <c r="F108" i="7" s="1"/>
  <c r="J120" i="7"/>
  <c r="I120" i="7" s="1"/>
  <c r="F120" i="7" s="1"/>
  <c r="J56" i="7"/>
  <c r="J68" i="7"/>
  <c r="J80" i="7"/>
  <c r="J92" i="7"/>
  <c r="J58" i="7"/>
  <c r="J83" i="7"/>
  <c r="J96" i="7"/>
  <c r="J98" i="7"/>
  <c r="J109" i="7"/>
  <c r="I109" i="7" s="1"/>
  <c r="F109" i="7" s="1"/>
  <c r="J121" i="7"/>
  <c r="I121" i="7" s="1"/>
  <c r="F121" i="7" s="1"/>
  <c r="J57" i="7"/>
  <c r="J69" i="7"/>
  <c r="J81" i="7"/>
  <c r="J93" i="7"/>
  <c r="J94" i="7"/>
  <c r="J61" i="7"/>
  <c r="J99" i="7"/>
  <c r="J110" i="7"/>
  <c r="I110" i="7" s="1"/>
  <c r="F110" i="7" s="1"/>
  <c r="J122" i="7"/>
  <c r="I122" i="7" s="1"/>
  <c r="F122" i="7" s="1"/>
  <c r="J63" i="7"/>
  <c r="J52" i="7"/>
  <c r="J46" i="7"/>
  <c r="J111" i="7"/>
  <c r="I111" i="7" s="1"/>
  <c r="F111" i="7" s="1"/>
  <c r="J123" i="7"/>
  <c r="I123" i="7" s="1"/>
  <c r="F123" i="7" s="1"/>
  <c r="J47" i="7"/>
  <c r="J59" i="7"/>
  <c r="J95" i="7"/>
  <c r="J84" i="7"/>
  <c r="J76" i="7"/>
  <c r="J100" i="7"/>
  <c r="I100" i="7" s="1"/>
  <c r="F100" i="7" s="1"/>
  <c r="J112" i="7"/>
  <c r="I112" i="7" s="1"/>
  <c r="F112" i="7" s="1"/>
  <c r="J124" i="7"/>
  <c r="I124" i="7" s="1"/>
  <c r="F124" i="7" s="1"/>
  <c r="J48" i="7"/>
  <c r="J73" i="7"/>
  <c r="J97" i="7"/>
  <c r="J126" i="7"/>
  <c r="I126" i="7" s="1"/>
  <c r="F126" i="7" s="1"/>
  <c r="J50" i="7"/>
  <c r="J86" i="7"/>
  <c r="J51" i="7"/>
  <c r="J75" i="7"/>
  <c r="J87" i="7"/>
  <c r="J101" i="7"/>
  <c r="I101" i="7" s="1"/>
  <c r="F101" i="7" s="1"/>
  <c r="J113" i="7"/>
  <c r="I113" i="7" s="1"/>
  <c r="F113" i="7" s="1"/>
  <c r="J125" i="7"/>
  <c r="I125" i="7" s="1"/>
  <c r="F125" i="7" s="1"/>
  <c r="J102" i="7"/>
  <c r="I102" i="7" s="1"/>
  <c r="F102" i="7" s="1"/>
  <c r="J74" i="7"/>
  <c r="J64" i="7"/>
  <c r="J103" i="7"/>
  <c r="I103" i="7" s="1"/>
  <c r="F103" i="7" s="1"/>
  <c r="J115" i="7"/>
  <c r="I115" i="7" s="1"/>
  <c r="F115" i="7" s="1"/>
  <c r="J127" i="7"/>
  <c r="I127" i="7" s="1"/>
  <c r="F127" i="7" s="1"/>
  <c r="J88" i="7"/>
  <c r="J104" i="7"/>
  <c r="I104" i="7" s="1"/>
  <c r="F104" i="7" s="1"/>
  <c r="J116" i="7"/>
  <c r="I116" i="7" s="1"/>
  <c r="F116" i="7" s="1"/>
  <c r="J128" i="7"/>
  <c r="I128" i="7" s="1"/>
  <c r="F128" i="7" s="1"/>
  <c r="J44" i="7"/>
  <c r="J36" i="7"/>
  <c r="G14" i="16"/>
  <c r="M11" i="8" s="1"/>
  <c r="M10" i="8" s="1"/>
  <c r="N10" i="8" s="1"/>
  <c r="I14" i="16"/>
  <c r="J10" i="8"/>
  <c r="J34" i="8" s="1"/>
  <c r="J17" i="7"/>
  <c r="J12" i="7"/>
  <c r="J30" i="7"/>
  <c r="J42" i="7"/>
  <c r="J32" i="7"/>
  <c r="J23" i="7"/>
  <c r="J35" i="7"/>
  <c r="J38" i="7"/>
  <c r="J26" i="7"/>
  <c r="J39" i="7"/>
  <c r="J10" i="7"/>
  <c r="J34" i="7"/>
  <c r="J18" i="7"/>
  <c r="J43" i="7"/>
  <c r="J37" i="7"/>
  <c r="J15" i="7"/>
  <c r="J27" i="7"/>
  <c r="J16" i="7"/>
  <c r="J14" i="7"/>
  <c r="J13" i="7"/>
  <c r="J25" i="7"/>
  <c r="J21" i="7"/>
  <c r="J28" i="7"/>
  <c r="J40" i="7"/>
  <c r="J19" i="7"/>
  <c r="J31" i="7"/>
  <c r="J20" i="7"/>
  <c r="J22" i="7"/>
  <c r="J24" i="7"/>
  <c r="J29" i="7"/>
  <c r="J33" i="7"/>
  <c r="J41" i="7"/>
  <c r="L14" i="8" l="1"/>
  <c r="M15" i="8"/>
  <c r="M40" i="8" s="1"/>
  <c r="J14" i="16"/>
  <c r="V14" i="16" s="1"/>
  <c r="N11" i="8"/>
  <c r="G15" i="16"/>
  <c r="I15" i="16"/>
  <c r="J15" i="16" l="1"/>
  <c r="V15" i="16" s="1"/>
  <c r="O15" i="8"/>
  <c r="O40" i="8" s="1"/>
  <c r="M34" i="8"/>
  <c r="N34" i="8"/>
  <c r="M14" i="8"/>
  <c r="N14" i="8" s="1"/>
  <c r="N15" i="8"/>
  <c r="N40" i="8" s="1"/>
  <c r="I16" i="16"/>
  <c r="G16" i="16"/>
  <c r="J16" i="16" l="1"/>
  <c r="V16" i="16" s="1"/>
  <c r="P15" i="8"/>
  <c r="P40" i="8" s="1"/>
  <c r="O14" i="8"/>
  <c r="I17" i="16"/>
  <c r="G17" i="16"/>
  <c r="Q15" i="8" l="1"/>
  <c r="Q40" i="8" s="1"/>
  <c r="P14" i="8"/>
  <c r="J17" i="16"/>
  <c r="V17" i="16" s="1"/>
  <c r="I18" i="16"/>
  <c r="G18" i="16"/>
  <c r="S15" i="8" l="1"/>
  <c r="J18" i="16"/>
  <c r="V18" i="16" s="1"/>
  <c r="Q14" i="8"/>
  <c r="R14" i="8" s="1"/>
  <c r="R15" i="8"/>
  <c r="R40" i="8" s="1"/>
  <c r="G19" i="16"/>
  <c r="I19" i="16"/>
  <c r="J19" i="16" l="1"/>
  <c r="V19" i="16" s="1"/>
  <c r="T15" i="8"/>
  <c r="S14" i="8"/>
  <c r="S40" i="8"/>
  <c r="E39" i="8" a="1"/>
  <c r="E39" i="8" s="1"/>
  <c r="G20" i="16"/>
  <c r="I20" i="16"/>
  <c r="U15" i="8" l="1"/>
  <c r="T40" i="8"/>
  <c r="T14" i="8"/>
  <c r="J20" i="16"/>
  <c r="V20" i="16" s="1"/>
  <c r="F39" i="8" a="1"/>
  <c r="F39" i="8" s="1"/>
  <c r="I21" i="16"/>
  <c r="G21" i="16"/>
  <c r="W15" i="8" l="1"/>
  <c r="U40" i="8"/>
  <c r="U14" i="8"/>
  <c r="V14" i="8" s="1"/>
  <c r="V15" i="8"/>
  <c r="V40" i="8" s="1"/>
  <c r="J21" i="16"/>
  <c r="V21" i="16" s="1"/>
  <c r="G39" i="8" a="1"/>
  <c r="G39" i="8" s="1"/>
  <c r="I22" i="16"/>
  <c r="G22" i="16"/>
  <c r="X15" i="8" l="1"/>
  <c r="W14" i="8"/>
  <c r="W40" i="8"/>
  <c r="J22" i="16"/>
  <c r="V22" i="16" s="1"/>
  <c r="H39" i="8" a="1"/>
  <c r="H39" i="8" s="1"/>
  <c r="I23" i="16"/>
  <c r="G23" i="16"/>
  <c r="AA11" i="8" s="1"/>
  <c r="AA10" i="8" s="1"/>
  <c r="X14" i="8" l="1"/>
  <c r="X40" i="8"/>
  <c r="Y15" i="8"/>
  <c r="I39" i="8" a="1"/>
  <c r="I39" i="8" s="1"/>
  <c r="J39" i="8" s="1"/>
  <c r="AA34" i="8"/>
  <c r="J23" i="16"/>
  <c r="V23" i="16" s="1"/>
  <c r="AA15" i="8"/>
  <c r="AA40" i="8" s="1"/>
  <c r="G24" i="16"/>
  <c r="I24" i="16"/>
  <c r="K39" i="8" l="1" a="1"/>
  <c r="K39" i="8" s="1"/>
  <c r="Y40" i="8"/>
  <c r="Y14" i="8"/>
  <c r="Z14" i="8" s="1"/>
  <c r="Z15" i="8"/>
  <c r="Z40" i="8" s="1"/>
  <c r="AA14" i="8"/>
  <c r="J24" i="16"/>
  <c r="V24" i="16" s="1"/>
  <c r="G25" i="16"/>
  <c r="I25" i="16"/>
  <c r="L39" i="8" l="1" a="1"/>
  <c r="L39" i="8" s="1"/>
  <c r="J25" i="16"/>
  <c r="V25" i="16" s="1"/>
  <c r="I26" i="16"/>
  <c r="G26" i="16"/>
  <c r="J26" i="16" l="1"/>
  <c r="V26" i="16" s="1"/>
  <c r="M39" i="8" a="1"/>
  <c r="M39" i="8" s="1"/>
  <c r="N39" i="8" s="1"/>
  <c r="I27" i="16"/>
  <c r="G27" i="16"/>
  <c r="O39" i="8" l="1" a="1"/>
  <c r="O39" i="8" s="1"/>
  <c r="J27" i="16"/>
  <c r="V27" i="16" s="1"/>
  <c r="I28" i="16"/>
  <c r="P39" i="8" s="1" a="1"/>
  <c r="P39" i="8" s="1"/>
  <c r="G28" i="16"/>
  <c r="J28" i="16" l="1"/>
  <c r="V28" i="16" s="1"/>
  <c r="G29" i="16"/>
  <c r="I29" i="16"/>
  <c r="Q39" i="8" s="1" a="1"/>
  <c r="Q39" i="8" s="1"/>
  <c r="J29" i="16" l="1"/>
  <c r="V29" i="16" s="1"/>
  <c r="R39" i="8"/>
  <c r="G30" i="16"/>
  <c r="I30" i="16"/>
  <c r="S39" i="8" s="1" a="1"/>
  <c r="S39" i="8" s="1"/>
  <c r="J30" i="16" l="1"/>
  <c r="V30" i="16" s="1"/>
  <c r="G31" i="16"/>
  <c r="I31" i="16"/>
  <c r="T39" i="8" s="1" a="1"/>
  <c r="T39" i="8" s="1"/>
  <c r="J31" i="16" l="1"/>
  <c r="V31" i="16" s="1"/>
  <c r="G32" i="16"/>
  <c r="I32" i="16"/>
  <c r="U39" i="8" l="1" a="1"/>
  <c r="U39" i="8" s="1"/>
  <c r="V39" i="8" s="1"/>
  <c r="J32" i="16"/>
  <c r="V32" i="16" s="1"/>
  <c r="G33" i="16"/>
  <c r="I33" i="16"/>
  <c r="W39" i="8" s="1" a="1"/>
  <c r="W39" i="8" s="1"/>
  <c r="J33" i="16" l="1"/>
  <c r="V33" i="16" s="1"/>
  <c r="G34" i="16"/>
  <c r="I34" i="16"/>
  <c r="X39" i="8" s="1" a="1"/>
  <c r="X39" i="8" s="1"/>
  <c r="J34" i="16" l="1"/>
  <c r="V34" i="16" s="1"/>
  <c r="G35" i="16"/>
  <c r="I35" i="16"/>
  <c r="Y39" i="8" l="1" a="1"/>
  <c r="Y39" i="8" s="1"/>
  <c r="Z39" i="8" s="1"/>
  <c r="AA39" i="8" a="1"/>
  <c r="AA39" i="8" s="1"/>
  <c r="J35" i="16"/>
  <c r="V35" i="16" s="1"/>
  <c r="G36" i="16"/>
  <c r="I36" i="16"/>
  <c r="J36" i="16" s="1"/>
  <c r="V36" i="16" s="1"/>
  <c r="G37" i="16" l="1"/>
  <c r="I37" i="16"/>
  <c r="J37" i="16" s="1"/>
  <c r="V37" i="16" s="1"/>
  <c r="G38" i="16" l="1"/>
  <c r="I38" i="16"/>
  <c r="J38" i="16" s="1"/>
  <c r="V38" i="16" s="1"/>
  <c r="G39" i="16" l="1"/>
  <c r="I39" i="16"/>
  <c r="J39" i="16" s="1"/>
  <c r="V39" i="16" s="1"/>
  <c r="I40" i="16" l="1"/>
  <c r="J40" i="16" s="1"/>
  <c r="V40" i="16" s="1"/>
  <c r="G40" i="16"/>
  <c r="G41" i="16" l="1"/>
  <c r="I41" i="16"/>
  <c r="J41" i="16" s="1"/>
  <c r="V41" i="16" s="1"/>
  <c r="G42" i="16" l="1"/>
  <c r="I42" i="16"/>
  <c r="J42" i="16" s="1"/>
  <c r="V42" i="16" s="1"/>
  <c r="G43" i="16" l="1"/>
  <c r="I43" i="16"/>
  <c r="J43" i="16" s="1"/>
  <c r="V43" i="16" s="1"/>
  <c r="G44" i="16" l="1"/>
  <c r="I44" i="16"/>
  <c r="J44" i="16" s="1"/>
  <c r="V44" i="16" s="1"/>
  <c r="G45" i="16" l="1"/>
  <c r="I45" i="16"/>
  <c r="J45" i="16" s="1"/>
  <c r="V45" i="16" s="1"/>
  <c r="I46" i="16" l="1"/>
  <c r="J46" i="16" s="1"/>
  <c r="V46" i="16" s="1"/>
  <c r="G46" i="16"/>
  <c r="I47" i="16" l="1"/>
  <c r="J47" i="16" s="1"/>
  <c r="V47" i="16" s="1"/>
  <c r="G47" i="16"/>
  <c r="G48" i="16" l="1"/>
  <c r="I48" i="16"/>
  <c r="J48" i="16" s="1"/>
  <c r="V48" i="16" s="1"/>
  <c r="G49" i="16" l="1"/>
  <c r="I49" i="16"/>
  <c r="J49" i="16" s="1"/>
  <c r="V49" i="16" s="1"/>
  <c r="G50" i="16" l="1"/>
  <c r="I50" i="16"/>
  <c r="J50" i="16" s="1"/>
  <c r="V50" i="16" s="1"/>
  <c r="G51" i="16" l="1"/>
  <c r="I51" i="16"/>
  <c r="J51" i="16" s="1"/>
  <c r="V51" i="16" s="1"/>
  <c r="G52" i="16" l="1"/>
  <c r="I52" i="16"/>
  <c r="J52" i="16" s="1"/>
  <c r="V52" i="16" s="1"/>
  <c r="G53" i="16" l="1"/>
  <c r="I53" i="16"/>
  <c r="J53" i="16" s="1"/>
  <c r="V53" i="16" s="1"/>
  <c r="I54" i="16" l="1"/>
  <c r="J54" i="16" s="1"/>
  <c r="V54" i="16" s="1"/>
  <c r="G54" i="16"/>
  <c r="G55" i="16" l="1"/>
  <c r="I55" i="16"/>
  <c r="J55" i="16" s="1"/>
  <c r="V55" i="16" s="1"/>
  <c r="G56" i="16" l="1"/>
  <c r="I56" i="16"/>
  <c r="J56" i="16" s="1"/>
  <c r="V56" i="16" s="1"/>
  <c r="I57" i="16" l="1"/>
  <c r="J57" i="16" s="1"/>
  <c r="V57" i="16" s="1"/>
  <c r="G57" i="16"/>
  <c r="I58" i="16" l="1"/>
  <c r="J58" i="16" s="1"/>
  <c r="V58" i="16" s="1"/>
  <c r="G58" i="16"/>
  <c r="I59" i="16" l="1"/>
  <c r="J59" i="16" s="1"/>
  <c r="V59" i="16" s="1"/>
  <c r="G59" i="16"/>
  <c r="G60" i="16" l="1"/>
  <c r="I60" i="16"/>
  <c r="J60" i="16" s="1"/>
  <c r="V60" i="16" s="1"/>
  <c r="I61" i="16" l="1"/>
  <c r="J61" i="16" s="1"/>
  <c r="V61" i="16" s="1"/>
  <c r="G61" i="16"/>
  <c r="G62" i="16" l="1"/>
  <c r="I62" i="16"/>
  <c r="J62" i="16" s="1"/>
  <c r="V62" i="16" s="1"/>
  <c r="G63" i="16" l="1"/>
  <c r="I63" i="16"/>
  <c r="J63" i="16" s="1"/>
  <c r="V63" i="16" s="1"/>
  <c r="G64" i="16" l="1"/>
  <c r="I64" i="16"/>
  <c r="J64" i="16" s="1"/>
  <c r="V64" i="16" s="1"/>
  <c r="I65" i="16" l="1"/>
  <c r="J65" i="16" s="1"/>
  <c r="V65" i="16" s="1"/>
  <c r="G65" i="16"/>
  <c r="I66" i="16" l="1"/>
  <c r="J66" i="16" s="1"/>
  <c r="V66" i="16" s="1"/>
  <c r="G66" i="16"/>
  <c r="G67" i="16" l="1"/>
  <c r="I67" i="16"/>
  <c r="J67" i="16" s="1"/>
  <c r="V67" i="16" s="1"/>
  <c r="G68" i="16" l="1"/>
  <c r="I68" i="16"/>
  <c r="J68" i="16" s="1"/>
  <c r="V68" i="16" s="1"/>
  <c r="G69" i="16" l="1"/>
  <c r="I69" i="16"/>
  <c r="J69" i="16" s="1"/>
  <c r="V69" i="16" s="1"/>
  <c r="I70" i="16" l="1"/>
  <c r="J70" i="16" s="1"/>
  <c r="V70" i="16" s="1"/>
  <c r="G70" i="16"/>
  <c r="I71" i="16" l="1"/>
  <c r="J71" i="16" s="1"/>
  <c r="V71" i="16" s="1"/>
  <c r="G71" i="16"/>
  <c r="G72" i="16" l="1"/>
  <c r="I72" i="16"/>
  <c r="J72" i="16" s="1"/>
  <c r="V72" i="16" s="1"/>
  <c r="I73" i="16" l="1"/>
  <c r="J73" i="16" s="1"/>
  <c r="V73" i="16" s="1"/>
  <c r="G73" i="16"/>
  <c r="G74" i="16" l="1"/>
  <c r="I74" i="16"/>
  <c r="J74" i="16" s="1"/>
  <c r="V74" i="16" s="1"/>
  <c r="G75" i="16" l="1"/>
  <c r="I75" i="16"/>
  <c r="J75" i="16" s="1"/>
  <c r="V75" i="16" s="1"/>
  <c r="I76" i="16" l="1"/>
  <c r="J76" i="16" s="1"/>
  <c r="V76" i="16" s="1"/>
  <c r="G76" i="16"/>
  <c r="I77" i="16" l="1"/>
  <c r="J77" i="16" s="1"/>
  <c r="V77" i="16" s="1"/>
  <c r="G77" i="16"/>
  <c r="I78" i="16" l="1"/>
  <c r="J78" i="16" s="1"/>
  <c r="V78" i="16" s="1"/>
  <c r="G78" i="16"/>
  <c r="G79" i="16" l="1"/>
  <c r="I79" i="16"/>
  <c r="J79" i="16" s="1"/>
  <c r="V79" i="16" s="1"/>
  <c r="I80" i="16" l="1"/>
  <c r="J80" i="16" s="1"/>
  <c r="V80" i="16" s="1"/>
  <c r="G80" i="16"/>
  <c r="G81" i="16" l="1"/>
  <c r="I81" i="16"/>
  <c r="J81" i="16" s="1"/>
  <c r="V81" i="16" s="1"/>
  <c r="I82" i="16" l="1"/>
  <c r="J82" i="16" s="1"/>
  <c r="V82" i="16" s="1"/>
  <c r="G82" i="16"/>
  <c r="G83" i="16" l="1"/>
  <c r="I83" i="16"/>
  <c r="J83" i="16" s="1"/>
  <c r="V83" i="16" s="1"/>
  <c r="I84" i="16" l="1"/>
  <c r="J84" i="16" s="1"/>
  <c r="V84" i="16" s="1"/>
  <c r="G84" i="16"/>
  <c r="G85" i="16" l="1"/>
  <c r="I85" i="16"/>
  <c r="J85" i="16" s="1"/>
  <c r="V85" i="16" s="1"/>
  <c r="I86" i="16" l="1"/>
  <c r="J86" i="16" s="1"/>
  <c r="V86" i="16" s="1"/>
  <c r="G86" i="16"/>
  <c r="G87" i="16" l="1"/>
  <c r="I87" i="16"/>
  <c r="J87" i="16" s="1"/>
  <c r="V87" i="16" s="1"/>
  <c r="I88" i="16" l="1"/>
  <c r="J88" i="16" s="1"/>
  <c r="V88" i="16" s="1"/>
  <c r="G88" i="16"/>
  <c r="G89" i="16" l="1"/>
  <c r="I89" i="16"/>
  <c r="J89" i="16" s="1"/>
  <c r="V89" i="16" s="1"/>
  <c r="I90" i="16" l="1"/>
  <c r="J90" i="16" s="1"/>
  <c r="V90" i="16" s="1"/>
  <c r="G90" i="16"/>
  <c r="G91" i="16" l="1"/>
  <c r="I91" i="16"/>
  <c r="J91" i="16" s="1"/>
  <c r="V91" i="16" s="1"/>
  <c r="I92" i="16" l="1"/>
  <c r="J92" i="16" s="1"/>
  <c r="V92" i="16" s="1"/>
  <c r="G92" i="16"/>
  <c r="G93" i="16" l="1"/>
  <c r="I93" i="16"/>
  <c r="J93" i="16" s="1"/>
  <c r="V93" i="16" s="1"/>
  <c r="G94" i="16" l="1"/>
  <c r="I94" i="16"/>
  <c r="J94" i="16" s="1"/>
  <c r="V94" i="16" s="1"/>
  <c r="I95" i="16" l="1"/>
  <c r="J95" i="16" s="1"/>
  <c r="V95" i="16" s="1"/>
  <c r="G95" i="16"/>
  <c r="I96" i="16" l="1"/>
  <c r="J96" i="16" s="1"/>
  <c r="V96" i="16" s="1"/>
  <c r="G96" i="16"/>
  <c r="G97" i="16" l="1"/>
  <c r="I97" i="16"/>
  <c r="J97" i="16" s="1"/>
  <c r="V97" i="16" s="1"/>
  <c r="I98" i="16" l="1"/>
  <c r="J98" i="16" s="1"/>
  <c r="V98" i="16" s="1"/>
  <c r="G98" i="16"/>
  <c r="I99" i="16" l="1"/>
  <c r="J99" i="16" s="1"/>
  <c r="V99" i="16" s="1"/>
  <c r="G99" i="16"/>
  <c r="G100" i="16" l="1"/>
  <c r="I100" i="16"/>
  <c r="J100" i="16" s="1"/>
  <c r="V100" i="16" s="1"/>
  <c r="G101" i="16" l="1"/>
  <c r="I101" i="16"/>
  <c r="J101" i="16" s="1"/>
  <c r="V101" i="16" s="1"/>
  <c r="G102" i="16" l="1"/>
  <c r="I102" i="16"/>
  <c r="J102" i="16" s="1"/>
  <c r="V102" i="16" s="1"/>
  <c r="I103" i="16" l="1"/>
  <c r="J103" i="16" s="1"/>
  <c r="V103" i="16" s="1"/>
  <c r="G103" i="16"/>
  <c r="G104" i="16" l="1"/>
  <c r="I104" i="16"/>
  <c r="J104" i="16" s="1"/>
  <c r="V104" i="16" s="1"/>
  <c r="G105" i="16" l="1"/>
  <c r="I105" i="16"/>
  <c r="J105" i="16" s="1"/>
  <c r="V105" i="16" s="1"/>
  <c r="I106" i="16" l="1"/>
  <c r="J106" i="16" s="1"/>
  <c r="V106" i="16" s="1"/>
  <c r="G106" i="16"/>
  <c r="G107" i="16" l="1"/>
  <c r="I107" i="16"/>
  <c r="J107" i="16" s="1"/>
  <c r="V107" i="16" s="1"/>
  <c r="G108" i="16" l="1"/>
  <c r="I108" i="16"/>
  <c r="J108" i="16" s="1"/>
  <c r="V108" i="16" s="1"/>
  <c r="G109" i="16" l="1"/>
  <c r="I109" i="16"/>
  <c r="J109" i="16" s="1"/>
  <c r="V109" i="16" s="1"/>
  <c r="G110" i="16" l="1"/>
  <c r="I110" i="16"/>
  <c r="J110" i="16" s="1"/>
  <c r="V110" i="16" s="1"/>
  <c r="G111" i="16" l="1"/>
  <c r="I111" i="16"/>
  <c r="J111" i="16" s="1"/>
  <c r="V111" i="16" s="1"/>
  <c r="I112" i="16" l="1"/>
  <c r="J112" i="16" s="1"/>
  <c r="V112" i="16" s="1"/>
  <c r="G112" i="16"/>
  <c r="G113" i="16" l="1"/>
  <c r="I113" i="16"/>
  <c r="J113" i="16" s="1"/>
  <c r="V113" i="16" s="1"/>
  <c r="I114" i="16" l="1"/>
  <c r="J114" i="16" s="1"/>
  <c r="V114" i="16" s="1"/>
  <c r="G114" i="16"/>
  <c r="G115" i="16" l="1"/>
  <c r="I115" i="16"/>
  <c r="J115" i="16" s="1"/>
  <c r="V115" i="16" s="1"/>
  <c r="I116" i="16" l="1"/>
  <c r="J116" i="16" s="1"/>
  <c r="V116" i="16" s="1"/>
  <c r="G116" i="16"/>
  <c r="G117" i="16" l="1"/>
  <c r="I117" i="16"/>
  <c r="J117" i="16" s="1"/>
  <c r="V117" i="16" s="1"/>
  <c r="I118" i="16" l="1"/>
  <c r="J118" i="16" s="1"/>
  <c r="V118" i="16" s="1"/>
  <c r="G118" i="16"/>
  <c r="G119" i="16" l="1"/>
  <c r="I119" i="16"/>
  <c r="J119" i="16" s="1"/>
  <c r="V119" i="16" s="1"/>
  <c r="G120" i="16" l="1"/>
  <c r="I120" i="16"/>
  <c r="J120" i="16" s="1"/>
  <c r="V120" i="16" s="1"/>
  <c r="G121" i="16" l="1"/>
  <c r="I121" i="16"/>
  <c r="J121" i="16" s="1"/>
  <c r="V121" i="16" s="1"/>
  <c r="I122" i="16" l="1"/>
  <c r="J122" i="16" s="1"/>
  <c r="V122" i="16" s="1"/>
  <c r="G122" i="16"/>
  <c r="G123" i="16" l="1"/>
  <c r="I123" i="16"/>
  <c r="J123" i="16" s="1"/>
  <c r="V123" i="16" s="1"/>
  <c r="I124" i="16" l="1"/>
  <c r="J124" i="16" s="1"/>
  <c r="V124" i="16" s="1"/>
  <c r="G124" i="16"/>
  <c r="G125" i="16" l="1"/>
  <c r="I125" i="16"/>
  <c r="J125" i="16" s="1"/>
  <c r="V125"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Asmah Elshokri</author>
  </authors>
  <commentList>
    <comment ref="K6" authorId="0" shapeId="0" xr:uid="{B2645281-07CA-4026-A75C-70F558138AB5}">
      <text>
        <r>
          <rPr>
            <b/>
            <sz val="9"/>
            <color indexed="81"/>
            <rFont val="Tahoma"/>
            <family val="2"/>
          </rPr>
          <t>Asmah Elshokri:</t>
        </r>
        <r>
          <rPr>
            <sz val="9"/>
            <color indexed="81"/>
            <rFont val="Tahoma"/>
            <family val="2"/>
          </rPr>
          <t xml:space="preserve">
payé le 2 janvier 2025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<sst xmlns="http://schemas.openxmlformats.org/spreadsheetml/2006/main" count="531" uniqueCount="269">
  <si>
    <t>Date de début</t>
  </si>
  <si>
    <t>Date de fin</t>
  </si>
  <si>
    <t>Remboursement de capital</t>
  </si>
  <si>
    <t>Nombre de jours</t>
  </si>
  <si>
    <t>Tableau de suivi</t>
  </si>
  <si>
    <t>Ce document est fourni à titre d'information seulement.  Banque Nationale du Canada («BNC») et ses filiales agissent uniquement en tant que contrepartie à un contrat, sans autre lien de dépendance, et non à titre de conseiller ou de fiduciaire, et ne sont liés par aucune obligation légale de conseiller quant à la justesse ou à l’opportunité de transiger un instrument ou produit financier. Par conséquent, toute proposition d’opération ou autre communication écrite ou verbale de la part de BNC ne doit pas être interprétée comme une recommandation ou un conseil affirmant que telle ou telle opération peut répondre aux besoins spécifiques du client ou lui permettre d'atteindre ses objectifs financiers.
Toute opération financière comporte un certain nombre de risques et de facteurs à considérer. Avant d'effectuer une opération, il convient donc d'en étudier attentivement les conditions, d'évaluer les risques et de déterminer si elle répond aux besoins et objectifs particuliers du client, à son expérience, à ses ressources financières et opérationnelles et toute autre circonstance qui lui est propre. BNC recommande fortement de consulter des conseillers juridiques, fiscaux et financiers indépendants, afin de procéder à une évaluation des particularités et des risques de l’opération à l’égard de la situation particulière reliée à l’opération.
La présente documentation ne constitue pas une offre d’opération. Nous croyons que les renseignements qu'elle renferme sont fiables, mais nous ne pouvons en garantir l'exactitude et l'exhaustivité. Le présent document peut contenir certains termes inclus pour fins de discussions uniquement et ne constituent aucunement une assurance qu’une opération sera effectuée selon ces termes financiers ou autres, présents dans ce document. Les stratégies, scénarios et risques élaborés ou énoncés dans ce document sont basés sur des exemples hypothétiques et les stratégies, scénarios et risques finaux et véritables peuvent varier selon les circonstances particulières. Le présent énoncé n'a pas pour objectif d'énumérer tous les risques associés aux opérations financières et ne doit pas être considéré comme un conseil à cet égard.</t>
  </si>
  <si>
    <t>Veuillez prendre note que ce document n'est pas un document officiel. Veuillez SVP vous assurer de l'exactitude des informations en vous référant aux documents officiels fournis par la Banque Nationale du Canada tel que les avis de paiements relatifs au swap ainsi que la confirmation bancaire relative au financement.</t>
  </si>
  <si>
    <t>Fin</t>
  </si>
  <si>
    <t>Ajustement swap</t>
  </si>
  <si>
    <t>Client</t>
  </si>
  <si>
    <t>Montant</t>
  </si>
  <si>
    <t>Amortissement</t>
  </si>
  <si>
    <t>Taux swap</t>
  </si>
  <si>
    <t>Client paie fixe vs reçoit</t>
  </si>
  <si>
    <t>*Sujet à renégociation à la date d'échéance du financement</t>
  </si>
  <si>
    <t>Marge applicable*</t>
  </si>
  <si>
    <t>Ajustement de l'écart de crédit</t>
  </si>
  <si>
    <t>Date de début du swap</t>
  </si>
  <si>
    <t>Date de fin du swap</t>
  </si>
  <si>
    <t>Date d'échéance du financement</t>
  </si>
  <si>
    <t>Sedna Finance Inc.</t>
  </si>
  <si>
    <t>CORRA journalier composé</t>
  </si>
  <si>
    <t>5 jours</t>
  </si>
  <si>
    <t>Tranche 1</t>
  </si>
  <si>
    <t>Tranche 2</t>
  </si>
  <si>
    <t>Tranche</t>
  </si>
  <si>
    <t>Swap Tranche 1 (120 mois)</t>
  </si>
  <si>
    <t>Swap Tranche 2 (60 mois)</t>
  </si>
  <si>
    <t>Période de rétrospection (Lookback)</t>
  </si>
  <si>
    <t xml:space="preserve">Information </t>
  </si>
  <si>
    <t>Taux Swap:</t>
  </si>
  <si>
    <t>Spread Bancaire:</t>
  </si>
  <si>
    <t>Taux fixe total:</t>
  </si>
  <si>
    <t>Échéance du Swap:</t>
  </si>
  <si>
    <t>Amortissement:</t>
  </si>
  <si>
    <t>Entrées comptables en rouge (A,B,C)</t>
  </si>
  <si>
    <t>A</t>
  </si>
  <si>
    <t>B</t>
  </si>
  <si>
    <t>C</t>
  </si>
  <si>
    <t>A+B+C</t>
  </si>
  <si>
    <t>Structure à taux fixe</t>
  </si>
  <si>
    <t>Amortissement prêt conventionnel</t>
  </si>
  <si>
    <t>Prêt CORRA</t>
  </si>
  <si>
    <t>Swap de taux d'intérêt</t>
  </si>
  <si>
    <t>Total de Règlement</t>
  </si>
  <si>
    <t>Date</t>
  </si>
  <si>
    <t>jours</t>
  </si>
  <si>
    <t>Solde</t>
  </si>
  <si>
    <t>Flux d'encaisse</t>
  </si>
  <si>
    <t>Notionnel pour la période</t>
  </si>
  <si>
    <t>Paiement de Capital</t>
  </si>
  <si>
    <t>Paiement d'intérêt</t>
  </si>
  <si>
    <t>TD vous paie</t>
  </si>
  <si>
    <t>Vous payez TD</t>
  </si>
  <si>
    <t>Paiement Swap</t>
  </si>
  <si>
    <t>Flux d'encaisse totaux</t>
  </si>
  <si>
    <t>Début</t>
  </si>
  <si>
    <t>Jours</t>
  </si>
  <si>
    <t>Date paiement</t>
  </si>
  <si>
    <t>Total</t>
  </si>
  <si>
    <t>Solde Capital</t>
  </si>
  <si>
    <t>Paiement Capital</t>
  </si>
  <si>
    <t>Intérêt total</t>
  </si>
  <si>
    <t>Taux swap avec écart de crédit</t>
  </si>
  <si>
    <t>Dette avec des contrats de SWAP de taux d'intérets</t>
  </si>
  <si>
    <t xml:space="preserve">JVM </t>
  </si>
  <si>
    <t>Dette swappée</t>
  </si>
  <si>
    <t>Date de transaction</t>
  </si>
  <si>
    <t>Échéance</t>
  </si>
  <si>
    <t>Nominal initial du contrat</t>
  </si>
  <si>
    <t>Nominal restant</t>
  </si>
  <si>
    <t>Taux Swap</t>
  </si>
  <si>
    <t xml:space="preserve">Frais d'estampillage </t>
  </si>
  <si>
    <t>Valeur indicative*</t>
  </si>
  <si>
    <t>Durée restante SWAP</t>
  </si>
  <si>
    <t xml:space="preserve">Terme dette </t>
  </si>
  <si>
    <t>Amort. Initial</t>
  </si>
  <si>
    <t>Positive = en faveur de Banque</t>
  </si>
  <si>
    <t xml:space="preserve">Négative = en faveur du client </t>
  </si>
  <si>
    <t>syndicat bancaire (BNC - TD - BMO)</t>
  </si>
  <si>
    <t>25 ans</t>
  </si>
  <si>
    <t xml:space="preserve">25 ans </t>
  </si>
  <si>
    <t>Limite</t>
  </si>
  <si>
    <t xml:space="preserve">Solde restant </t>
  </si>
  <si>
    <t>Crédit Rotatif</t>
  </si>
  <si>
    <t>Crédit A</t>
  </si>
  <si>
    <t>Dette non swappée</t>
  </si>
  <si>
    <t>Dette totale</t>
  </si>
  <si>
    <t>Swap arrimé avec le terme de la dette</t>
  </si>
  <si>
    <t xml:space="preserve">Swap non arrimé avec le terme de la dette </t>
  </si>
  <si>
    <t>de la dette est adossée à des swap</t>
  </si>
  <si>
    <t xml:space="preserve">* une valeur positive est en faveur de la BNC et une valeur négative est en faveur du client </t>
  </si>
  <si>
    <t>Groupe Santé Sedna inc.</t>
  </si>
  <si>
    <t>Sommaire des dettes à long terme</t>
  </si>
  <si>
    <t>Solde dû</t>
  </si>
  <si>
    <t>Paiement d'intérêts</t>
  </si>
  <si>
    <t>Paiement de capital</t>
  </si>
  <si>
    <t>Crédit disponible</t>
  </si>
  <si>
    <t>BNC</t>
  </si>
  <si>
    <t>TD</t>
  </si>
  <si>
    <t>BMO</t>
  </si>
  <si>
    <t>Crédit B</t>
  </si>
  <si>
    <t>Crédit rotatif</t>
  </si>
  <si>
    <t>T4 2024</t>
  </si>
  <si>
    <t>Paiement sur prêt</t>
  </si>
  <si>
    <t>Sedna Finance inc.</t>
  </si>
  <si>
    <t>Paiement de capital unique</t>
  </si>
  <si>
    <t>Prévisions</t>
  </si>
  <si>
    <t>Banque</t>
  </si>
  <si>
    <t>NA</t>
  </si>
  <si>
    <t>Taux fixe total</t>
  </si>
  <si>
    <t>Conservateur</t>
  </si>
  <si>
    <t>Crédit rotatif *</t>
  </si>
  <si>
    <t>Accordéon**</t>
  </si>
  <si>
    <t>** sujet au respect pro forma d’un Ratio de prêt sur valeur ≤ 75%</t>
  </si>
  <si>
    <t>Total de règlement</t>
  </si>
  <si>
    <t>Taux CORRA journalier composé</t>
  </si>
  <si>
    <t>Ratio de prêt sur valeur</t>
  </si>
  <si>
    <t>Capacité d'augmentation sur Crédit B</t>
  </si>
  <si>
    <t>Tableau de suivi des swaps</t>
  </si>
  <si>
    <t>Annonce BOC</t>
  </si>
  <si>
    <t>04-09-2024</t>
  </si>
  <si>
    <t>23-10-2024</t>
  </si>
  <si>
    <t>11-12-2024</t>
  </si>
  <si>
    <t>29-01-2025</t>
  </si>
  <si>
    <t>12-03-2025</t>
  </si>
  <si>
    <t>16-04-2025</t>
  </si>
  <si>
    <t>04-06-2025</t>
  </si>
  <si>
    <t>30-07-2025</t>
  </si>
  <si>
    <t>17-09-2025</t>
  </si>
  <si>
    <t>29-10-2025</t>
  </si>
  <si>
    <t>10-12-2025</t>
  </si>
  <si>
    <t>Spread</t>
  </si>
  <si>
    <t xml:space="preserve">Amortissement </t>
  </si>
  <si>
    <t>Convention amendée juillet 2024</t>
  </si>
  <si>
    <t>Pertes &amp; Profits sur Swaps</t>
  </si>
  <si>
    <t>* inclut un crédit de soudure de 10M (consolidation des comptes : 0725, 6127, 3727, 3824, 4822, 0028, 7126, 8521, 2220, 7022, 4025, 5222, 8723, 3820, 3328, 3528)</t>
  </si>
  <si>
    <t>FIN</t>
  </si>
  <si>
    <t>Prévisions long terme</t>
  </si>
  <si>
    <t>End of year 10</t>
  </si>
  <si>
    <t>End of year 11</t>
  </si>
  <si>
    <t>$141,580.82</t>
  </si>
  <si>
    <t>$123,467.17</t>
  </si>
  <si>
    <t>$33,350,671.97</t>
  </si>
  <si>
    <t>$141,058.61</t>
  </si>
  <si>
    <t>$123,989.38</t>
  </si>
  <si>
    <t>$33,226,682.59</t>
  </si>
  <si>
    <t>$140,534.19</t>
  </si>
  <si>
    <t>$124,513.80</t>
  </si>
  <si>
    <t>$33,102,168.79</t>
  </si>
  <si>
    <t>$140,007.55</t>
  </si>
  <si>
    <t>$125,040.44</t>
  </si>
  <si>
    <t>$32,977,128.36</t>
  </si>
  <si>
    <t>$139,478.69</t>
  </si>
  <si>
    <t>$125,569.30</t>
  </si>
  <si>
    <t>$32,851,559.05</t>
  </si>
  <si>
    <t>$138,947.59</t>
  </si>
  <si>
    <t>$126,100.41</t>
  </si>
  <si>
    <t>$32,725,458.65</t>
  </si>
  <si>
    <t>$138,414.24</t>
  </si>
  <si>
    <t>$126,633.76</t>
  </si>
  <si>
    <t>$32,598,824.89</t>
  </si>
  <si>
    <t>$137,878.63</t>
  </si>
  <si>
    <t>$127,169.36</t>
  </si>
  <si>
    <t>$32,471,655.53</t>
  </si>
  <si>
    <t>$137,340.76</t>
  </si>
  <si>
    <t>$127,707.23</t>
  </si>
  <si>
    <t>$32,343,948.30</t>
  </si>
  <si>
    <t>$136,800.62</t>
  </si>
  <si>
    <t>$128,247.38</t>
  </si>
  <si>
    <t>$32,215,700.92</t>
  </si>
  <si>
    <t>$136,258.19</t>
  </si>
  <si>
    <t>$128,789.81</t>
  </si>
  <si>
    <t>$32,086,911.12</t>
  </si>
  <si>
    <t>$135,713.46</t>
  </si>
  <si>
    <t>$129,334.53</t>
  </si>
  <si>
    <t>$31,957,576.59</t>
  </si>
  <si>
    <t>$135,166.43</t>
  </si>
  <si>
    <t>$129,881.56</t>
  </si>
  <si>
    <t>$31,827,695.03</t>
  </si>
  <si>
    <t>$134,617.09</t>
  </si>
  <si>
    <t>$130,430.90</t>
  </si>
  <si>
    <t>$31,697,264.13</t>
  </si>
  <si>
    <t>$134,065.43</t>
  </si>
  <si>
    <t>$130,982.56</t>
  </si>
  <si>
    <t>$31,566,281.57</t>
  </si>
  <si>
    <t>$133,511.43</t>
  </si>
  <si>
    <t>$131,536.56</t>
  </si>
  <si>
    <t>$31,434,745.01</t>
  </si>
  <si>
    <t>$132,955.09</t>
  </si>
  <si>
    <t>$132,092.90</t>
  </si>
  <si>
    <t>$31,302,652.10</t>
  </si>
  <si>
    <t>$132,396.39</t>
  </si>
  <si>
    <t>$132,651.60</t>
  </si>
  <si>
    <t>$31,170,000.50</t>
  </si>
  <si>
    <t>$131,835.34</t>
  </si>
  <si>
    <t>$133,212.66</t>
  </si>
  <si>
    <t>$31,036,787.85</t>
  </si>
  <si>
    <t>$131,271.90</t>
  </si>
  <si>
    <t>$133,776.09</t>
  </si>
  <si>
    <t>$30,903,011.76</t>
  </si>
  <si>
    <t>$130,706.09</t>
  </si>
  <si>
    <t>$134,341.90</t>
  </si>
  <si>
    <t>$30,768,669.86</t>
  </si>
  <si>
    <t>$130,137.88</t>
  </si>
  <si>
    <t>$134,910.11</t>
  </si>
  <si>
    <t>$30,633,759.75</t>
  </si>
  <si>
    <t>$129,567.27</t>
  </si>
  <si>
    <t>$135,480.72</t>
  </si>
  <si>
    <t>$30,498,279.04</t>
  </si>
  <si>
    <t>$128,994.25</t>
  </si>
  <si>
    <t>$136,053.74</t>
  </si>
  <si>
    <t>$30,362,225.29</t>
  </si>
  <si>
    <t>$128,418.80</t>
  </si>
  <si>
    <t>$136,629.19</t>
  </si>
  <si>
    <t>$30,225,596.11</t>
  </si>
  <si>
    <t>Futurs paiements de capital</t>
  </si>
  <si>
    <t>Intérêt payé</t>
  </si>
  <si>
    <t>Paiement swap</t>
  </si>
  <si>
    <t>Paiement d'intérêt- Crédit A</t>
  </si>
  <si>
    <t>Paiement d'intérêt- Crédit rotatif</t>
  </si>
  <si>
    <t xml:space="preserve">OGUA88197 </t>
  </si>
  <si>
    <t xml:space="preserve">OGUA88584 </t>
  </si>
  <si>
    <t>Lettres de Garantie</t>
  </si>
  <si>
    <t>LG: OGUA88197: émise à 9338-5888 Québec Inc. (Carbonléo/ bail de Brossard) et expire le 28 fév. 2025</t>
  </si>
  <si>
    <t>LG: OGUA88584 : émise à 9338-5888 Québec Inc. (Carbonléo/ bail de Brossard) avec un renouvellement annuel automatique (à annuler par le bénéficiaire après la fin du bail)</t>
  </si>
  <si>
    <t>Long terme- 5 ans</t>
  </si>
  <si>
    <t>Paiement d'intérêt à payer- fin du mois</t>
  </si>
  <si>
    <t>Ajustement swap tranche 1</t>
  </si>
  <si>
    <t>Ajustement swap tranche 2</t>
  </si>
  <si>
    <t>Engagement</t>
  </si>
  <si>
    <t>Taux</t>
  </si>
  <si>
    <t>Date de paiement</t>
  </si>
  <si>
    <t>Valeur nominale</t>
  </si>
  <si>
    <t>Crédit à Terme B</t>
  </si>
  <si>
    <t>Frais d'attente</t>
  </si>
  <si>
    <t xml:space="preserve">Frais </t>
  </si>
  <si>
    <t>Court terme- 1 an</t>
  </si>
  <si>
    <t>Valeur indicative</t>
  </si>
  <si>
    <t>Sedna paie fixe vs reçoit</t>
  </si>
  <si>
    <t xml:space="preserve">Sedna Finance </t>
  </si>
  <si>
    <t>Frais d'estampillage + ajustement de l'écart de crédit</t>
  </si>
  <si>
    <t>taux variable + frais d'estampillage (2,00%) + ajustement de l'écart de crédit (0,29547%)</t>
  </si>
  <si>
    <t>Décision</t>
  </si>
  <si>
    <t>T1 2025</t>
  </si>
  <si>
    <t>Paiement d'intérêt- Crédit B</t>
  </si>
  <si>
    <t>Taux Préférentiel</t>
  </si>
  <si>
    <t>Cumul 2025</t>
  </si>
  <si>
    <t>T2 2025</t>
  </si>
  <si>
    <t>3M Crédit rotatif</t>
  </si>
  <si>
    <t>Frais unique</t>
  </si>
  <si>
    <t>Description</t>
  </si>
  <si>
    <t>Agency fee</t>
  </si>
  <si>
    <t>Autres frais financiers</t>
  </si>
  <si>
    <t>Futurs paiements d'intérêts net swaps</t>
  </si>
  <si>
    <t>Prêt à Terme A</t>
  </si>
  <si>
    <t>Prêt à Terme B</t>
  </si>
  <si>
    <t>,</t>
  </si>
  <si>
    <t>T3 2025</t>
  </si>
  <si>
    <t>T4 2025</t>
  </si>
  <si>
    <t>Total frais financiers</t>
  </si>
  <si>
    <t>115 mois</t>
  </si>
  <si>
    <t xml:space="preserve">55 mois </t>
  </si>
  <si>
    <t>55 mois</t>
  </si>
  <si>
    <t xml:space="preserve">29 mois </t>
  </si>
  <si>
    <t xml:space="preserve">24 mois </t>
  </si>
  <si>
    <t>NA- Crédit rotatif</t>
  </si>
  <si>
    <t>en date du 31 décembre 2024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</si>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</sst>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7" formatCode="#,##0.00\ &quot;$&quot;_);\(#,##0.00\ &quot;$&quot;\)"/>
    <numFmt numFmtId="44" formatCode="_ * #,##0.00_)\ &quot;$&quot;_ ;_ * \(#,##0.00\)\ &quot;$&quot;_ ;_ * &quot;-&quot;??_)\ &quot;$&quot;_ ;_ @_ "/>
    <numFmt numFmtId="43" formatCode="_ * #,##0.00_)_ ;_ * \(#,##0.00\)_ ;_ * &quot;-&quot;??_)_ ;_ @_ "/>
    <numFmt numFmtId="164" formatCode="&quot;$&quot;#,##0.00_);\(&quot;$&quot;#,##0.00\)"/>
    <numFmt numFmtId="165" formatCode="&quot;$&quot;#,##0.00"/>
    <numFmt numFmtId="166" formatCode="[$-C0C]d\ mmm\ yyyy;@"/>
    <numFmt numFmtId="167" formatCode="0.00000%"/>
    <numFmt numFmtId="168" formatCode="###&quot; mois&quot;"/>
    <numFmt numFmtId="169" formatCode="&quot;$&quot;#,##0_);[Red]\(&quot;$&quot;#,##0\)"/>
    <numFmt numFmtId="170" formatCode="[$-40C]d\-mmm\-yyyy;@"/>
    <numFmt numFmtId="171" formatCode="0.000%"/>
    <numFmt numFmtId="172" formatCode="#\ &quot;mois&quot;"/>
    <numFmt numFmtId="173" formatCode="0\ &quot; years&quot;"/>
    <numFmt numFmtId="174" formatCode="_(* #,##0.00_);_(* \(#,##0.00\);_(* &quot;-&quot;??_);_(@_)"/>
    <numFmt numFmtId="175" formatCode="_(* #,##0_);_(* \(#,##0\);_(* &quot;-&quot;??_);_(@_)"/>
    <numFmt numFmtId="176" formatCode="[$-409]d\-mmm\-yyyy;@"/>
    <numFmt numFmtId="177" formatCode="0.000000%"/>
    <numFmt numFmtId="178" formatCode="0.0000%"/>
    <numFmt numFmtId="179" formatCode="_ * #,##0.00_)\ _$_ ;_ * \(#,##0.00\)\ _$_ ;_ * &quot;-&quot;??_)\ _$_ ;_ @_ "/>
    <numFmt numFmtId="180" formatCode="_ * #,##0_)\ &quot;$&quot;_ ;_ * \(#,##0\)\ &quot;$&quot;_ ;_ * &quot;-&quot;??_)\ &quot;$&quot;_ ;_ @_ "/>
    <numFmt numFmtId="181" formatCode="_ * #,##0_)_ ;_ * \(#,##0\)_ ;_ * &quot;-&quot;??_)_ ;_ @_ "/>
    <numFmt numFmtId="182" formatCode="_ * #,##0_)\ _$_ ;_ * \(#,##0\)\ _$_ ;_ * &quot;-&quot;_)\ _$_ ;_ @_ "/>
    <numFmt numFmtId="183" formatCode="mmmm\ \y\y\y\y"/>
    <numFmt numFmtId="184" formatCode="mmm\ \'yy"/>
    <numFmt numFmtId="185" formatCode="0.0000000"/>
    <numFmt numFmtId="186" formatCode="0.00000000%"/>
    <numFmt numFmtId="187" formatCode="_ * #,##0.000000_)\ _$_ ;_ * \(#,##0.000000\)\ _$_ ;_ * &quot;-&quot;??_)\ _$_ ;_ @_ "/>
    <numFmt numFmtId="188" formatCode="#,##0.00\ &quot;$&quot;"/>
    <numFmt numFmtId="189" formatCode="[$-F800]dddd\,\ mmmm\ dd\,\ yyyy"/>
    <numFmt numFmtId="190" formatCode="_ * #,##0.00000_)\ _$_ ;_ * \(#,##0.00000\)\ _$_ ;_ * &quot;-&quot;?????_)\ _$_ ;_ @_ "/>
    <numFmt numFmtId="191" formatCode="#,##0.00000\ &quot;$&quot;"/>
    <numFmt numFmtId="192" formatCode="_ * #,##0.000000_)\ _$_ ;_ * \(#,##0.000000\)\ _$_ ;_ * &quot;-&quot;??????_)\ _$_ ;_ @_ "/>
    <numFmt numFmtId="193" formatCode="_ * #,##0.00_)\ _$_ ;_ * \(#,##0.00\)\ _$_ ;_ * &quot;-&quot;_)\ _$_ ;_ @_ "/>
  </numFmts>
  <fonts count="66" x14ac:knownFonts="1">
    <font>
      <sz val="10"/>
      <name val="Arial"/>
    </font>
    <font>
      <sz val="10"/>
      <color theme="1"/>
      <name val="Arial"/>
      <family val="2"/>
    </font>
    <font>
      <sz val="10"/>
      <color theme="1"/>
      <name val="Arial"/>
      <family val="2"/>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color theme="3" tint="-0.499984740745262"/>
      <name val="Trebuchet MS"/>
      <family val="2"/>
    </font>
    <font>
      <sz val="11"/>
      <color theme="3" tint="-0.499984740745262"/>
      <name val="Trebuchet MS"/>
      <family val="2"/>
    </font>
    <font>
      <i/>
      <sz val="11"/>
      <color theme="3" tint="-0.499984740745262"/>
      <name val="Trebuchet MS"/>
      <family val="2"/>
    </font>
    <font>
      <b/>
      <sz val="11"/>
      <color theme="3" tint="-0.499984740745262"/>
      <name val="Trebuchet MS"/>
      <family val="2"/>
    </font>
    <font>
      <b/>
      <i/>
      <sz val="10"/>
      <color rgb="FFE41C23"/>
      <name val="Trebuchet MS"/>
      <family val="2"/>
    </font>
    <font>
      <b/>
      <i/>
      <sz val="10"/>
      <color theme="3" tint="-0.499984740745262"/>
      <name val="Trebuchet MS"/>
      <family val="2"/>
    </font>
    <font>
      <b/>
      <sz val="11"/>
      <color rgb="FF00324D"/>
      <name val="Trebuchet MS"/>
      <family val="2"/>
    </font>
    <font>
      <b/>
      <sz val="11"/>
      <color theme="0"/>
      <name val="Trebuchet MS"/>
      <family val="2"/>
    </font>
    <font>
      <b/>
      <sz val="12"/>
      <color theme="0"/>
      <name val="Trebuchet MS"/>
      <family val="2"/>
    </font>
    <font>
      <i/>
      <sz val="11"/>
      <color theme="0" tint="-0.499984740745262"/>
      <name val="Trebuchet MS"/>
      <family val="2"/>
    </font>
    <font>
      <sz val="10"/>
      <color theme="0"/>
      <name val="Arial"/>
      <family val="2"/>
    </font>
    <font>
      <sz val="10"/>
      <color rgb="FFFF0000"/>
      <name val="Arial"/>
      <family val="2"/>
    </font>
    <font>
      <b/>
      <sz val="10"/>
      <name val="Arial"/>
      <family val="2"/>
    </font>
    <font>
      <b/>
      <i/>
      <u/>
      <sz val="10"/>
      <name val="Arial"/>
      <family val="2"/>
    </font>
    <font>
      <b/>
      <i/>
      <sz val="10"/>
      <color rgb="FFFF0000"/>
      <name val="Arial"/>
      <family val="2"/>
    </font>
    <font>
      <b/>
      <sz val="10"/>
      <color rgb="FFFF0000"/>
      <name val="Arial"/>
      <family val="2"/>
    </font>
    <font>
      <b/>
      <sz val="10"/>
      <color theme="0"/>
      <name val="Arial"/>
      <family val="2"/>
    </font>
    <font>
      <b/>
      <sz val="10"/>
      <color rgb="FF0070C0"/>
      <name val="Arial"/>
      <family val="2"/>
    </font>
    <font>
      <sz val="10"/>
      <color rgb="FF0070C0"/>
      <name val="Arial"/>
      <family val="2"/>
    </font>
    <font>
      <sz val="11"/>
      <color theme="1"/>
      <name val="Calibri"/>
      <family val="2"/>
      <scheme val="minor"/>
    </font>
    <font>
      <sz val="11"/>
      <color theme="0"/>
      <name val="Arial"/>
      <family val="2"/>
    </font>
    <font>
      <b/>
      <sz val="11"/>
      <color theme="0"/>
      <name val="Arial"/>
      <family val="2"/>
    </font>
    <font>
      <b/>
      <sz val="14"/>
      <color theme="0"/>
      <name val="Arial"/>
      <family val="2"/>
    </font>
    <font>
      <b/>
      <sz val="11"/>
      <color theme="3" tint="9.9978637043366805E-2"/>
      <name val="Arial"/>
      <family val="2"/>
    </font>
    <font>
      <sz val="12"/>
      <color theme="0"/>
      <name val="Arial"/>
      <family val="2"/>
    </font>
    <font>
      <sz val="11"/>
      <color theme="1"/>
      <name val="Arial"/>
      <family val="2"/>
    </font>
    <font>
      <sz val="11"/>
      <name val="Arial"/>
      <family val="2"/>
    </font>
    <font>
      <b/>
      <sz val="11"/>
      <color theme="1"/>
      <name val="Arial"/>
      <family val="2"/>
    </font>
    <font>
      <b/>
      <sz val="11"/>
      <name val="Arial"/>
      <family val="2"/>
    </font>
    <font>
      <b/>
      <sz val="12.5"/>
      <color theme="0"/>
      <name val="Arial"/>
      <family val="2"/>
    </font>
    <font>
      <i/>
      <sz val="11"/>
      <color theme="1"/>
      <name val="Arial"/>
      <family val="2"/>
    </font>
    <font>
      <i/>
      <sz val="10"/>
      <name val="Arial"/>
      <family val="2"/>
    </font>
    <font>
      <i/>
      <sz val="11"/>
      <name val="Arial"/>
      <family val="2"/>
    </font>
    <font>
      <b/>
      <i/>
      <sz val="11"/>
      <color theme="1"/>
      <name val="Arial"/>
      <family val="2"/>
    </font>
    <font>
      <sz val="11"/>
      <color theme="1"/>
      <name val="Calibri"/>
      <family val="2"/>
    </font>
    <font>
      <b/>
      <sz val="11"/>
      <color theme="1"/>
      <name val="Calibri"/>
      <family val="2"/>
    </font>
    <font>
      <sz val="9"/>
      <name val="Arial"/>
      <family val="2"/>
    </font>
    <font>
      <b/>
      <sz val="10"/>
      <color theme="1"/>
      <name val="Arial"/>
      <family val="2"/>
    </font>
    <font>
      <sz val="8"/>
      <name val="Arial"/>
      <family val="2"/>
    </font>
    <font>
      <i/>
      <sz val="11"/>
      <color theme="1"/>
      <name val="Trebuchet MS"/>
      <family val="2"/>
    </font>
    <font>
      <sz val="11"/>
      <name val="Calibri"/>
      <family val="2"/>
    </font>
    <font>
      <sz val="10"/>
      <color rgb="FF000000"/>
      <name val="Arial"/>
      <family val="2"/>
    </font>
    <font>
      <b/>
      <sz val="10"/>
      <color rgb="FFE2ECF8"/>
      <name val="Arial"/>
      <family val="2"/>
    </font>
    <font>
      <sz val="9"/>
      <color indexed="81"/>
      <name val="Tahoma"/>
      <family val="2"/>
    </font>
    <font>
      <b/>
      <sz val="9"/>
      <color indexed="81"/>
      <name val="Tahoma"/>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theme="0"/>
        <bgColor indexed="64"/>
      </patternFill>
    </fill>
    <fill>
      <patternFill patternType="solid">
        <fgColor rgb="FF00324D"/>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00B624"/>
        <bgColor indexed="64"/>
      </patternFill>
    </fill>
    <fill>
      <patternFill patternType="solid">
        <fgColor rgb="FF86CA72"/>
        <bgColor indexed="64"/>
      </patternFill>
    </fill>
    <fill>
      <patternFill patternType="solid">
        <fgColor theme="0" tint="-0.499984740745262"/>
        <bgColor indexed="64"/>
      </patternFill>
    </fill>
    <fill>
      <patternFill patternType="solid">
        <fgColor theme="4" tint="0.89999084444715716"/>
        <bgColor indexed="64"/>
      </patternFill>
    </fill>
    <fill>
      <patternFill patternType="solid">
        <fgColor theme="0" tint="-0.249977111117893"/>
        <bgColor indexed="64"/>
      </patternFill>
    </fill>
    <fill>
      <patternFill patternType="solid">
        <fgColor theme="3" tint="0.749992370372631"/>
        <bgColor indexed="64"/>
      </patternFill>
    </fill>
    <fill>
      <patternFill patternType="solid">
        <fgColor theme="3" tint="-0.249977111117893"/>
        <bgColor indexed="64"/>
      </patternFill>
    </fill>
    <fill>
      <patternFill patternType="solid">
        <fgColor theme="3" tint="0.89999084444715716"/>
        <bgColor indexed="64"/>
      </patternFill>
    </fill>
    <fill>
      <patternFill patternType="solid">
        <fgColor rgb="FFE2ECF8"/>
        <bgColor indexed="64"/>
      </patternFill>
    </fill>
    <fill>
      <patternFill patternType="solid">
        <fgColor rgb="FF0070C0"/>
        <bgColor indexed="64"/>
      </patternFill>
    </fill>
    <fill>
      <patternFill patternType="solid">
        <fgColor rgb="FFA92B21"/>
        <bgColor indexed="64"/>
      </patternFill>
    </fill>
    <fill>
      <patternFill patternType="solid">
        <fgColor theme="3" tint="0.79998168889431442"/>
        <bgColor indexed="64"/>
      </patternFill>
    </fill>
    <fill>
      <patternFill patternType="solid">
        <fgColor rgb="FF92D050"/>
        <bgColor indexed="64"/>
      </patternFill>
    </fill>
    <fill>
      <patternFill patternType="solid">
        <fgColor theme="3" tint="-0.49998474074526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FFF00"/>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bottom style="thin">
        <color theme="0" tint="-0.249977111117893"/>
      </bottom>
      <diagonal/>
    </border>
    <border>
      <left/>
      <right/>
      <top/>
      <bottom style="thin">
        <color theme="0" tint="-0.499984740745262"/>
      </bottom>
      <diagonal/>
    </border>
    <border>
      <left style="thin">
        <color theme="0" tint="-0.499984740745262"/>
      </left>
      <right/>
      <top style="thin">
        <color theme="0" tint="-0.499984740745262"/>
      </top>
      <bottom style="thin">
        <color theme="0" tint="-0.34998626667073579"/>
      </bottom>
      <diagonal/>
    </border>
    <border>
      <left/>
      <right/>
      <top style="thin">
        <color theme="0" tint="-0.499984740745262"/>
      </top>
      <bottom style="thin">
        <color theme="0" tint="-0.34998626667073579"/>
      </bottom>
      <diagonal/>
    </border>
    <border>
      <left/>
      <right style="thin">
        <color theme="0" tint="-0.499984740745262"/>
      </right>
      <top style="thin">
        <color theme="0" tint="-0.499984740745262"/>
      </top>
      <bottom style="thin">
        <color theme="0" tint="-0.34998626667073579"/>
      </bottom>
      <diagonal/>
    </border>
    <border>
      <left style="thin">
        <color theme="0" tint="-0.499984740745262"/>
      </left>
      <right/>
      <top style="thin">
        <color theme="0" tint="-0.34998626667073579"/>
      </top>
      <bottom/>
      <diagonal/>
    </border>
    <border>
      <left style="thin">
        <color theme="0" tint="-0.34998626667073579"/>
      </left>
      <right style="thin">
        <color theme="0" tint="-0.499984740745262"/>
      </right>
      <top style="thin">
        <color theme="0" tint="-0.34998626667073579"/>
      </top>
      <bottom/>
      <diagonal/>
    </border>
    <border>
      <left style="thin">
        <color theme="0" tint="-0.499984740745262"/>
      </left>
      <right style="dotted">
        <color auto="1"/>
      </right>
      <top/>
      <bottom/>
      <diagonal/>
    </border>
    <border>
      <left style="dotted">
        <color auto="1"/>
      </left>
      <right/>
      <top/>
      <bottom/>
      <diagonal/>
    </border>
    <border>
      <left style="thin">
        <color theme="0" tint="-0.34998626667073579"/>
      </left>
      <right style="thin">
        <color theme="0" tint="-0.499984740745262"/>
      </right>
      <top/>
      <bottom/>
      <diagonal/>
    </border>
    <border>
      <left style="thin">
        <color theme="0" tint="-0.499984740745262"/>
      </left>
      <right/>
      <top/>
      <bottom/>
      <diagonal/>
    </border>
    <border>
      <left style="thin">
        <color theme="0" tint="-0.34998626667073579"/>
      </left>
      <right style="thin">
        <color theme="0" tint="-0.499984740745262"/>
      </right>
      <top/>
      <bottom style="double">
        <color theme="0" tint="-0.34998626667073579"/>
      </bottom>
      <diagonal/>
    </border>
    <border>
      <left style="thin">
        <color theme="0" tint="-0.499984740745262"/>
      </left>
      <right style="dotted">
        <color auto="1"/>
      </right>
      <top/>
      <bottom style="thin">
        <color theme="0" tint="-0.499984740745262"/>
      </bottom>
      <diagonal/>
    </border>
    <border>
      <left style="dotted">
        <color auto="1"/>
      </left>
      <right/>
      <top/>
      <bottom style="thin">
        <color theme="0" tint="-0.499984740745262"/>
      </bottom>
      <diagonal/>
    </border>
    <border>
      <left style="thin">
        <color theme="0" tint="-0.34998626667073579"/>
      </left>
      <right style="thin">
        <color theme="0" tint="-0.499984740745262"/>
      </right>
      <top/>
      <bottom style="thin">
        <color theme="0" tint="-0.499984740745262"/>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right style="thin">
        <color theme="0" tint="-0.34998626667073579"/>
      </right>
      <top/>
      <bottom/>
      <diagonal/>
    </border>
    <border diagonalUp="1">
      <left style="thin">
        <color theme="0" tint="-0.34998626667073579"/>
      </left>
      <right style="thin">
        <color theme="0" tint="-0.34998626667073579"/>
      </right>
      <top style="thin">
        <color theme="0" tint="-0.34998626667073579"/>
      </top>
      <bottom/>
      <diagonal style="thin">
        <color theme="0"/>
      </diagonal>
    </border>
    <border>
      <left style="thin">
        <color theme="0" tint="-0.34998626667073579"/>
      </left>
      <right/>
      <top/>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style="thin">
        <color theme="0" tint="-0.499984740745262"/>
      </top>
      <bottom style="thin">
        <color indexed="64"/>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indexed="64"/>
      </top>
      <bottom style="thin">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indexed="64"/>
      </left>
      <right style="thin">
        <color theme="0" tint="-0.499984740745262"/>
      </right>
      <top style="thin">
        <color indexed="64"/>
      </top>
      <bottom style="thin">
        <color theme="0" tint="-0.499984740745262"/>
      </bottom>
      <diagonal/>
    </border>
    <border>
      <left style="thin">
        <color indexed="64"/>
      </left>
      <right style="thin">
        <color theme="0" tint="-0.499984740745262"/>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top/>
      <bottom style="double">
        <color indexed="64"/>
      </bottom>
      <diagonal/>
    </border>
    <border>
      <left/>
      <right style="medium">
        <color indexed="64"/>
      </right>
      <top style="thin">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249977111117893"/>
      </left>
      <right/>
      <top/>
      <bottom/>
      <diagonal/>
    </border>
    <border>
      <left/>
      <right style="thin">
        <color theme="0" tint="-0.14999847407452621"/>
      </right>
      <top/>
      <bottom/>
      <diagonal/>
    </border>
    <border>
      <left style="thin">
        <color theme="0" tint="-0.249977111117893"/>
      </left>
      <right style="thin">
        <color theme="0" tint="-0.249977111117893"/>
      </right>
      <top/>
      <bottom/>
      <diagonal/>
    </border>
    <border>
      <left style="thin">
        <color theme="0" tint="-0.34998626667073579"/>
      </left>
      <right style="thin">
        <color theme="0" tint="-0.34998626667073579"/>
      </right>
      <top/>
      <bottom style="thin">
        <color theme="0" tint="-0.249977111117893"/>
      </bottom>
      <diagonal/>
    </border>
    <border>
      <left style="thin">
        <color indexed="64"/>
      </left>
      <right style="thin">
        <color indexed="64"/>
      </right>
      <top style="thin">
        <color indexed="64"/>
      </top>
      <bottom/>
      <diagonal/>
    </border>
    <border diagonalUp="1">
      <left style="thin">
        <color theme="0" tint="-0.249977111117893"/>
      </left>
      <right style="thin">
        <color theme="0" tint="-0.34998626667073579"/>
      </right>
      <top style="thin">
        <color theme="0" tint="-0.34998626667073579"/>
      </top>
      <bottom/>
      <diagonal style="thin">
        <color theme="0"/>
      </diagonal>
    </border>
    <border>
      <left style="thin">
        <color theme="0" tint="-0.34998626667073579"/>
      </left>
      <right style="thin">
        <color theme="0" tint="-0.34998626667073579"/>
      </right>
      <top/>
      <bottom style="thin">
        <color theme="0" tint="-0.34998626667073579"/>
      </bottom>
      <diagonal/>
    </border>
    <border>
      <left/>
      <right/>
      <top/>
      <bottom style="thin">
        <color indexed="64"/>
      </bottom>
      <diagonal/>
    </border>
    <border>
      <left/>
      <right style="thin">
        <color theme="0" tint="-0.249977111117893"/>
      </right>
      <top/>
      <bottom/>
      <diagonal/>
    </border>
    <border>
      <left style="thin">
        <color theme="0" tint="-0.34998626667073579"/>
      </left>
      <right style="thin">
        <color theme="0" tint="-0.34998626667073579"/>
      </right>
      <top style="thin">
        <color theme="0" tint="-0.34998626667073579"/>
      </top>
      <bottom/>
      <diagonal/>
    </border>
    <border>
      <left style="thin">
        <color theme="0" tint="-0.249977111117893"/>
      </left>
      <right style="thin">
        <color theme="0" tint="-0.249977111117893"/>
      </right>
      <top style="thin">
        <color theme="0" tint="-0.249977111117893"/>
      </top>
      <bottom/>
      <diagonal/>
    </border>
    <border>
      <left/>
      <right style="thin">
        <color theme="0" tint="-0.14999847407452621"/>
      </right>
      <top style="thin">
        <color theme="0" tint="-0.249977111117893"/>
      </top>
      <bottom style="thin">
        <color theme="0" tint="-0.249977111117893"/>
      </bottom>
      <diagonal/>
    </border>
  </borders>
  <cellStyleXfs count="55">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0" borderId="0" applyNumberFormat="0" applyFill="0" applyBorder="0" applyAlignment="0" applyProtection="0"/>
    <xf numFmtId="0" fontId="7" fillId="20" borderId="1" applyNumberFormat="0" applyAlignment="0" applyProtection="0"/>
    <xf numFmtId="0" fontId="8" fillId="0" borderId="2" applyNumberFormat="0" applyFill="0" applyAlignment="0" applyProtection="0"/>
    <xf numFmtId="0" fontId="4" fillId="22" borderId="4" applyNumberFormat="0" applyFont="0" applyAlignment="0" applyProtection="0"/>
    <xf numFmtId="0" fontId="9" fillId="7" borderId="1" applyNumberFormat="0" applyAlignment="0" applyProtection="0"/>
    <xf numFmtId="0" fontId="10" fillId="3" borderId="0" applyNumberFormat="0" applyBorder="0" applyAlignment="0" applyProtection="0"/>
    <xf numFmtId="0" fontId="11" fillId="23" borderId="0" applyNumberFormat="0" applyBorder="0" applyAlignment="0" applyProtection="0"/>
    <xf numFmtId="9" fontId="3" fillId="0" borderId="0" applyFont="0" applyFill="0" applyBorder="0" applyAlignment="0" applyProtection="0"/>
    <xf numFmtId="0" fontId="12" fillId="4" borderId="0" applyNumberFormat="0" applyBorder="0" applyAlignment="0" applyProtection="0"/>
    <xf numFmtId="0" fontId="13" fillId="20" borderId="8"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21" borderId="3" applyNumberFormat="0" applyAlignment="0" applyProtection="0"/>
    <xf numFmtId="0" fontId="3" fillId="0" borderId="0"/>
    <xf numFmtId="0" fontId="3" fillId="0" borderId="0"/>
    <xf numFmtId="9" fontId="3" fillId="0" borderId="0" applyFont="0" applyFill="0" applyBorder="0" applyAlignment="0" applyProtection="0"/>
    <xf numFmtId="174" fontId="3"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55" fillId="0" borderId="0"/>
    <xf numFmtId="9" fontId="3" fillId="0" borderId="0" applyFont="0" applyFill="0" applyBorder="0" applyAlignment="0" applyProtection="0"/>
    <xf numFmtId="0" fontId="3" fillId="0" borderId="0"/>
    <xf numFmtId="0" fontId="3" fillId="0" borderId="0"/>
  </cellStyleXfs>
  <cellXfs count="438">
    <xf numFmtId="0" fontId="0" fillId="0" borderId="0" xfId="0"/>
    <xf numFmtId="166" fontId="24" fillId="24" borderId="10" xfId="0" applyNumberFormat="1" applyFont="1" applyFill="1" applyBorder="1" applyAlignment="1">
      <alignment horizontal="center"/>
    </xf>
    <xf numFmtId="164" fontId="24" fillId="24" borderId="10" xfId="0" applyNumberFormat="1" applyFont="1" applyFill="1" applyBorder="1" applyAlignment="1">
      <alignment horizontal="center"/>
    </xf>
    <xf numFmtId="10" fontId="27" fillId="24" borderId="10" xfId="0" applyNumberFormat="1" applyFont="1" applyFill="1" applyBorder="1" applyAlignment="1">
      <alignment horizontal="center"/>
    </xf>
    <xf numFmtId="167" fontId="22" fillId="26" borderId="10" xfId="32" applyNumberFormat="1" applyFont="1" applyFill="1" applyBorder="1" applyAlignment="1" applyProtection="1">
      <alignment horizontal="center"/>
      <protection locked="0"/>
    </xf>
    <xf numFmtId="167" fontId="22" fillId="24" borderId="10" xfId="32" applyNumberFormat="1" applyFont="1" applyFill="1" applyBorder="1" applyAlignment="1" applyProtection="1">
      <alignment horizontal="center"/>
      <protection locked="0"/>
    </xf>
    <xf numFmtId="168" fontId="27" fillId="24" borderId="10" xfId="0" applyNumberFormat="1" applyFont="1" applyFill="1" applyBorder="1" applyAlignment="1">
      <alignment horizontal="center"/>
    </xf>
    <xf numFmtId="167" fontId="27" fillId="24" borderId="10" xfId="0" applyNumberFormat="1" applyFont="1" applyFill="1" applyBorder="1" applyAlignment="1">
      <alignment horizontal="center"/>
    </xf>
    <xf numFmtId="0" fontId="22" fillId="24" borderId="0" xfId="43" applyFont="1" applyFill="1" applyAlignment="1">
      <alignment horizontal="center"/>
    </xf>
    <xf numFmtId="0" fontId="22" fillId="24" borderId="0" xfId="43" applyFont="1" applyFill="1"/>
    <xf numFmtId="0" fontId="24" fillId="24" borderId="10" xfId="43" applyFont="1" applyFill="1" applyBorder="1" applyAlignment="1">
      <alignment horizontal="center"/>
    </xf>
    <xf numFmtId="165" fontId="22" fillId="24" borderId="0" xfId="43" applyNumberFormat="1" applyFont="1" applyFill="1" applyAlignment="1">
      <alignment horizontal="center"/>
    </xf>
    <xf numFmtId="0" fontId="22" fillId="24" borderId="0" xfId="43" applyFont="1" applyFill="1" applyAlignment="1">
      <alignment horizontal="left" wrapText="1"/>
    </xf>
    <xf numFmtId="14" fontId="28" fillId="25" borderId="10" xfId="43" applyNumberFormat="1" applyFont="1" applyFill="1" applyBorder="1" applyAlignment="1">
      <alignment horizontal="center" vertical="center" wrapText="1"/>
    </xf>
    <xf numFmtId="0" fontId="28" fillId="25" borderId="10" xfId="43" applyFont="1" applyFill="1" applyBorder="1" applyAlignment="1">
      <alignment horizontal="center" vertical="center" wrapText="1"/>
    </xf>
    <xf numFmtId="165" fontId="28" fillId="25" borderId="10" xfId="43" applyNumberFormat="1" applyFont="1" applyFill="1" applyBorder="1" applyAlignment="1">
      <alignment horizontal="center" vertical="center" wrapText="1"/>
    </xf>
    <xf numFmtId="0" fontId="24" fillId="24" borderId="0" xfId="43" applyFont="1" applyFill="1" applyAlignment="1">
      <alignment vertical="center" wrapText="1"/>
    </xf>
    <xf numFmtId="166" fontId="22" fillId="24" borderId="10" xfId="43" applyNumberFormat="1" applyFont="1" applyFill="1" applyBorder="1" applyAlignment="1">
      <alignment horizontal="center"/>
    </xf>
    <xf numFmtId="1" fontId="22" fillId="24" borderId="10" xfId="43" applyNumberFormat="1" applyFont="1" applyFill="1" applyBorder="1" applyAlignment="1">
      <alignment horizontal="center"/>
    </xf>
    <xf numFmtId="164" fontId="22" fillId="24" borderId="10" xfId="43" applyNumberFormat="1" applyFont="1" applyFill="1" applyBorder="1" applyAlignment="1">
      <alignment horizontal="center"/>
    </xf>
    <xf numFmtId="165" fontId="22" fillId="24" borderId="10" xfId="43" applyNumberFormat="1" applyFont="1" applyFill="1" applyBorder="1" applyAlignment="1">
      <alignment horizontal="center"/>
    </xf>
    <xf numFmtId="0" fontId="25" fillId="24" borderId="0" xfId="43" applyFont="1" applyFill="1" applyAlignment="1">
      <alignment vertical="justify" wrapText="1"/>
    </xf>
    <xf numFmtId="0" fontId="25" fillId="24" borderId="0" xfId="43" applyFont="1" applyFill="1" applyAlignment="1">
      <alignment vertical="center" wrapText="1"/>
    </xf>
    <xf numFmtId="0" fontId="21" fillId="24" borderId="0" xfId="43" applyFont="1" applyFill="1"/>
    <xf numFmtId="0" fontId="26" fillId="24" borderId="0" xfId="43" applyFont="1" applyFill="1" applyAlignment="1">
      <alignment wrapText="1"/>
    </xf>
    <xf numFmtId="0" fontId="23" fillId="24" borderId="0" xfId="43" applyFont="1" applyFill="1"/>
    <xf numFmtId="166" fontId="24" fillId="24" borderId="0" xfId="0" applyNumberFormat="1" applyFont="1" applyFill="1" applyAlignment="1">
      <alignment horizontal="center"/>
    </xf>
    <xf numFmtId="164" fontId="24" fillId="24" borderId="0" xfId="0" applyNumberFormat="1" applyFont="1" applyFill="1" applyAlignment="1">
      <alignment horizontal="center"/>
    </xf>
    <xf numFmtId="168" fontId="27" fillId="24" borderId="0" xfId="0" applyNumberFormat="1" applyFont="1" applyFill="1" applyAlignment="1">
      <alignment horizontal="center"/>
    </xf>
    <xf numFmtId="10" fontId="27" fillId="24" borderId="0" xfId="0" applyNumberFormat="1" applyFont="1" applyFill="1" applyAlignment="1">
      <alignment horizontal="center"/>
    </xf>
    <xf numFmtId="167" fontId="27" fillId="24" borderId="0" xfId="0" applyNumberFormat="1" applyFont="1" applyFill="1" applyAlignment="1">
      <alignment horizontal="center"/>
    </xf>
    <xf numFmtId="165" fontId="24" fillId="24" borderId="0" xfId="0" applyNumberFormat="1" applyFont="1" applyFill="1" applyAlignment="1">
      <alignment horizontal="center"/>
    </xf>
    <xf numFmtId="165" fontId="22" fillId="27" borderId="10" xfId="43" applyNumberFormat="1" applyFont="1" applyFill="1" applyBorder="1" applyAlignment="1">
      <alignment horizontal="center"/>
    </xf>
    <xf numFmtId="165" fontId="30" fillId="27" borderId="10" xfId="43" applyNumberFormat="1" applyFont="1" applyFill="1" applyBorder="1" applyAlignment="1">
      <alignment horizontal="center"/>
    </xf>
    <xf numFmtId="0" fontId="24" fillId="28" borderId="10" xfId="43" applyFont="1" applyFill="1" applyBorder="1" applyAlignment="1">
      <alignment horizontal="center"/>
    </xf>
    <xf numFmtId="0" fontId="24" fillId="28" borderId="10" xfId="0" applyFont="1" applyFill="1" applyBorder="1" applyAlignment="1">
      <alignment horizontal="center"/>
    </xf>
    <xf numFmtId="0" fontId="31" fillId="24" borderId="0" xfId="44" applyFont="1" applyFill="1"/>
    <xf numFmtId="0" fontId="32" fillId="24" borderId="0" xfId="44" applyFont="1" applyFill="1"/>
    <xf numFmtId="0" fontId="3" fillId="24" borderId="17" xfId="44" applyFill="1" applyBorder="1"/>
    <xf numFmtId="0" fontId="3" fillId="24" borderId="0" xfId="44" applyFill="1"/>
    <xf numFmtId="0" fontId="33" fillId="28" borderId="18" xfId="44" applyFont="1" applyFill="1" applyBorder="1" applyAlignment="1">
      <alignment horizontal="centerContinuous"/>
    </xf>
    <xf numFmtId="0" fontId="3" fillId="28" borderId="19" xfId="44" applyFill="1" applyBorder="1" applyAlignment="1">
      <alignment horizontal="centerContinuous"/>
    </xf>
    <xf numFmtId="0" fontId="3" fillId="28" borderId="20" xfId="44" applyFill="1" applyBorder="1" applyAlignment="1">
      <alignment horizontal="centerContinuous"/>
    </xf>
    <xf numFmtId="0" fontId="3" fillId="24" borderId="21" xfId="44" applyFill="1" applyBorder="1"/>
    <xf numFmtId="0" fontId="33" fillId="24" borderId="0" xfId="44" applyFont="1" applyFill="1" applyAlignment="1">
      <alignment horizontal="right"/>
    </xf>
    <xf numFmtId="167" fontId="3" fillId="24" borderId="22" xfId="44" applyNumberFormat="1" applyFill="1" applyBorder="1" applyAlignment="1">
      <alignment horizontal="center"/>
    </xf>
    <xf numFmtId="0" fontId="3" fillId="24" borderId="23" xfId="44" applyFill="1" applyBorder="1"/>
    <xf numFmtId="0" fontId="33" fillId="24" borderId="24" xfId="44" applyFont="1" applyFill="1" applyBorder="1" applyAlignment="1">
      <alignment horizontal="right"/>
    </xf>
    <xf numFmtId="167" fontId="3" fillId="24" borderId="25" xfId="44" applyNumberFormat="1" applyFill="1" applyBorder="1" applyAlignment="1">
      <alignment horizontal="center"/>
    </xf>
    <xf numFmtId="0" fontId="34" fillId="24" borderId="0" xfId="44" applyFont="1" applyFill="1"/>
    <xf numFmtId="0" fontId="3" fillId="24" borderId="26" xfId="44" applyFill="1" applyBorder="1"/>
    <xf numFmtId="167" fontId="33" fillId="24" borderId="27" xfId="44" applyNumberFormat="1" applyFont="1" applyFill="1" applyBorder="1" applyAlignment="1">
      <alignment horizontal="center"/>
    </xf>
    <xf numFmtId="0" fontId="33" fillId="24" borderId="0" xfId="44" applyFont="1" applyFill="1" applyAlignment="1">
      <alignment horizontal="center"/>
    </xf>
    <xf numFmtId="170" fontId="3" fillId="0" borderId="22" xfId="44" applyNumberFormat="1" applyBorder="1" applyAlignment="1">
      <alignment horizontal="center"/>
    </xf>
    <xf numFmtId="171" fontId="3" fillId="24" borderId="0" xfId="44" applyNumberFormat="1" applyFill="1"/>
    <xf numFmtId="0" fontId="3" fillId="24" borderId="28" xfId="44" applyFill="1" applyBorder="1"/>
    <xf numFmtId="0" fontId="33" fillId="24" borderId="29" xfId="44" applyFont="1" applyFill="1" applyBorder="1" applyAlignment="1">
      <alignment horizontal="right"/>
    </xf>
    <xf numFmtId="172" fontId="3" fillId="24" borderId="30" xfId="44" applyNumberFormat="1" applyFill="1" applyBorder="1" applyAlignment="1">
      <alignment horizontal="center"/>
    </xf>
    <xf numFmtId="15" fontId="32" fillId="24" borderId="0" xfId="43" applyNumberFormat="1" applyFont="1" applyFill="1" applyAlignment="1">
      <alignment horizontal="center"/>
    </xf>
    <xf numFmtId="0" fontId="35" fillId="24" borderId="0" xfId="44" applyFont="1" applyFill="1" applyAlignment="1">
      <alignment horizontal="left"/>
    </xf>
    <xf numFmtId="0" fontId="33" fillId="24" borderId="0" xfId="44" applyFont="1" applyFill="1"/>
    <xf numFmtId="0" fontId="36" fillId="29" borderId="31" xfId="44" applyFont="1" applyFill="1" applyBorder="1" applyAlignment="1">
      <alignment horizontal="center"/>
    </xf>
    <xf numFmtId="0" fontId="36" fillId="28" borderId="31" xfId="44" applyFont="1" applyFill="1" applyBorder="1" applyAlignment="1">
      <alignment horizontal="center"/>
    </xf>
    <xf numFmtId="171" fontId="3" fillId="24" borderId="0" xfId="45" applyNumberFormat="1" applyFont="1" applyFill="1" applyBorder="1"/>
    <xf numFmtId="171" fontId="37" fillId="30" borderId="32" xfId="45" applyNumberFormat="1" applyFont="1" applyFill="1" applyBorder="1" applyAlignment="1">
      <alignment horizontal="centerContinuous" vertical="center"/>
    </xf>
    <xf numFmtId="171" fontId="37" fillId="30" borderId="33" xfId="45" applyNumberFormat="1" applyFont="1" applyFill="1" applyBorder="1" applyAlignment="1">
      <alignment horizontal="centerContinuous" vertical="center"/>
    </xf>
    <xf numFmtId="0" fontId="31" fillId="30" borderId="33" xfId="44" applyFont="1" applyFill="1" applyBorder="1" applyAlignment="1">
      <alignment horizontal="centerContinuous"/>
    </xf>
    <xf numFmtId="0" fontId="37" fillId="30" borderId="33" xfId="44" applyFont="1" applyFill="1" applyBorder="1" applyAlignment="1">
      <alignment horizontal="centerContinuous" vertical="center"/>
    </xf>
    <xf numFmtId="173" fontId="37" fillId="30" borderId="33" xfId="44" applyNumberFormat="1" applyFont="1" applyFill="1" applyBorder="1" applyAlignment="1">
      <alignment horizontal="centerContinuous"/>
    </xf>
    <xf numFmtId="0" fontId="37" fillId="30" borderId="34" xfId="44" applyFont="1" applyFill="1" applyBorder="1" applyAlignment="1">
      <alignment horizontal="centerContinuous"/>
    </xf>
    <xf numFmtId="0" fontId="36" fillId="24" borderId="0" xfId="44" applyFont="1" applyFill="1" applyAlignment="1">
      <alignment horizontal="center"/>
    </xf>
    <xf numFmtId="173" fontId="38" fillId="24" borderId="0" xfId="44" applyNumberFormat="1" applyFont="1" applyFill="1" applyAlignment="1">
      <alignment horizontal="center"/>
    </xf>
    <xf numFmtId="0" fontId="37" fillId="31" borderId="32" xfId="44" applyFont="1" applyFill="1" applyBorder="1" applyAlignment="1">
      <alignment horizontal="centerContinuous" vertical="center"/>
    </xf>
    <xf numFmtId="0" fontId="31" fillId="31" borderId="33" xfId="44" applyFont="1" applyFill="1" applyBorder="1" applyAlignment="1">
      <alignment horizontal="centerContinuous"/>
    </xf>
    <xf numFmtId="0" fontId="31" fillId="31" borderId="34" xfId="44" applyFont="1" applyFill="1" applyBorder="1" applyAlignment="1">
      <alignment horizontal="centerContinuous"/>
    </xf>
    <xf numFmtId="0" fontId="37" fillId="31" borderId="33" xfId="44" applyFont="1" applyFill="1" applyBorder="1" applyAlignment="1">
      <alignment horizontal="centerContinuous" vertical="center"/>
    </xf>
    <xf numFmtId="0" fontId="37" fillId="31" borderId="33" xfId="44" applyFont="1" applyFill="1" applyBorder="1" applyAlignment="1">
      <alignment horizontal="centerContinuous"/>
    </xf>
    <xf numFmtId="0" fontId="37" fillId="31" borderId="34" xfId="44" applyFont="1" applyFill="1" applyBorder="1" applyAlignment="1">
      <alignment horizontal="centerContinuous"/>
    </xf>
    <xf numFmtId="0" fontId="37" fillId="24" borderId="0" xfId="44" applyFont="1" applyFill="1" applyAlignment="1">
      <alignment horizontal="center"/>
    </xf>
    <xf numFmtId="0" fontId="37" fillId="31" borderId="35" xfId="44" applyFont="1" applyFill="1" applyBorder="1" applyAlignment="1">
      <alignment horizontal="centerContinuous" vertical="center" wrapText="1"/>
    </xf>
    <xf numFmtId="0" fontId="32" fillId="24" borderId="0" xfId="44" applyFont="1" applyFill="1" applyAlignment="1">
      <alignment vertical="center"/>
    </xf>
    <xf numFmtId="0" fontId="33" fillId="28" borderId="36" xfId="44" applyFont="1" applyFill="1" applyBorder="1" applyAlignment="1">
      <alignment horizontal="center" vertical="center"/>
    </xf>
    <xf numFmtId="0" fontId="33" fillId="28" borderId="36" xfId="44" applyFont="1" applyFill="1" applyBorder="1" applyAlignment="1">
      <alignment horizontal="center" vertical="center" wrapText="1"/>
    </xf>
    <xf numFmtId="0" fontId="3" fillId="24" borderId="0" xfId="44" applyFill="1" applyAlignment="1">
      <alignment vertical="center"/>
    </xf>
    <xf numFmtId="0" fontId="33" fillId="24" borderId="0" xfId="44" applyFont="1" applyFill="1" applyAlignment="1">
      <alignment horizontal="center" vertical="center"/>
    </xf>
    <xf numFmtId="15" fontId="39" fillId="24" borderId="38" xfId="43" applyNumberFormat="1" applyFont="1" applyFill="1" applyBorder="1"/>
    <xf numFmtId="176" fontId="3" fillId="0" borderId="0" xfId="44" applyNumberFormat="1" applyAlignment="1">
      <alignment horizontal="center"/>
    </xf>
    <xf numFmtId="177" fontId="38" fillId="24" borderId="37" xfId="44" applyNumberFormat="1" applyFont="1" applyFill="1" applyBorder="1" applyAlignment="1">
      <alignment horizontal="center"/>
    </xf>
    <xf numFmtId="175" fontId="38" fillId="24" borderId="37" xfId="46" applyNumberFormat="1" applyFont="1" applyFill="1" applyBorder="1" applyAlignment="1">
      <alignment horizontal="center"/>
    </xf>
    <xf numFmtId="175" fontId="3" fillId="24" borderId="37" xfId="46" applyNumberFormat="1" applyFont="1" applyFill="1" applyBorder="1" applyAlignment="1">
      <alignment horizontal="center"/>
    </xf>
    <xf numFmtId="178" fontId="38" fillId="32" borderId="39" xfId="44" applyNumberFormat="1" applyFont="1" applyFill="1" applyBorder="1" applyAlignment="1">
      <alignment horizontal="center"/>
    </xf>
    <xf numFmtId="175" fontId="3" fillId="0" borderId="37" xfId="46" applyNumberFormat="1" applyFont="1" applyFill="1" applyBorder="1" applyAlignment="1">
      <alignment horizontal="center"/>
    </xf>
    <xf numFmtId="37" fontId="3" fillId="32" borderId="39" xfId="44" applyNumberFormat="1" applyFill="1" applyBorder="1" applyAlignment="1">
      <alignment horizontal="center"/>
    </xf>
    <xf numFmtId="37" fontId="3" fillId="32" borderId="39" xfId="46" applyNumberFormat="1" applyFont="1" applyFill="1" applyBorder="1" applyAlignment="1">
      <alignment horizontal="center"/>
    </xf>
    <xf numFmtId="37" fontId="3" fillId="24" borderId="37" xfId="44" applyNumberFormat="1" applyFill="1" applyBorder="1" applyAlignment="1">
      <alignment horizontal="center"/>
    </xf>
    <xf numFmtId="37" fontId="3" fillId="28" borderId="37" xfId="44" applyNumberFormat="1" applyFill="1" applyBorder="1" applyAlignment="1">
      <alignment horizontal="center"/>
    </xf>
    <xf numFmtId="37" fontId="3" fillId="24" borderId="38" xfId="44" applyNumberFormat="1" applyFill="1" applyBorder="1"/>
    <xf numFmtId="0" fontId="3" fillId="24" borderId="37" xfId="44" applyFill="1" applyBorder="1" applyAlignment="1">
      <alignment horizontal="center"/>
    </xf>
    <xf numFmtId="178" fontId="38" fillId="33" borderId="37" xfId="45" applyNumberFormat="1" applyFont="1" applyFill="1" applyBorder="1" applyAlignment="1">
      <alignment horizontal="center"/>
    </xf>
    <xf numFmtId="37" fontId="3" fillId="29" borderId="37" xfId="44" applyNumberFormat="1" applyFill="1" applyBorder="1" applyAlignment="1">
      <alignment horizontal="center"/>
    </xf>
    <xf numFmtId="37" fontId="3" fillId="29" borderId="37" xfId="46" applyNumberFormat="1" applyFont="1" applyFill="1" applyBorder="1" applyAlignment="1">
      <alignment horizontal="center"/>
    </xf>
    <xf numFmtId="37" fontId="3" fillId="0" borderId="37" xfId="44" applyNumberFormat="1" applyBorder="1" applyAlignment="1">
      <alignment horizontal="center"/>
    </xf>
    <xf numFmtId="37" fontId="3" fillId="24" borderId="40" xfId="44" applyNumberFormat="1" applyFill="1" applyBorder="1" applyAlignment="1">
      <alignment horizontal="center"/>
    </xf>
    <xf numFmtId="15" fontId="32" fillId="24" borderId="38" xfId="43" applyNumberFormat="1" applyFont="1" applyFill="1" applyBorder="1" applyAlignment="1">
      <alignment horizontal="center"/>
    </xf>
    <xf numFmtId="0" fontId="3" fillId="0" borderId="38" xfId="44" applyBorder="1"/>
    <xf numFmtId="169" fontId="3" fillId="24" borderId="38" xfId="44" applyNumberFormat="1" applyFill="1" applyBorder="1"/>
    <xf numFmtId="169" fontId="3" fillId="24" borderId="0" xfId="44" applyNumberFormat="1" applyFill="1"/>
    <xf numFmtId="0" fontId="32" fillId="24" borderId="0" xfId="44" applyFont="1" applyFill="1" applyAlignment="1">
      <alignment horizontal="right"/>
    </xf>
    <xf numFmtId="0" fontId="3" fillId="24" borderId="0" xfId="44" applyFill="1" applyAlignment="1">
      <alignment horizontal="right"/>
    </xf>
    <xf numFmtId="0" fontId="33" fillId="34" borderId="0" xfId="0" applyFont="1" applyFill="1" applyAlignment="1">
      <alignment horizontal="center" vertical="center" wrapText="1"/>
    </xf>
    <xf numFmtId="0" fontId="33" fillId="34" borderId="0" xfId="44" applyFont="1" applyFill="1" applyAlignment="1">
      <alignment horizontal="center" vertical="center" wrapText="1"/>
    </xf>
    <xf numFmtId="166" fontId="3" fillId="24" borderId="41" xfId="43" applyNumberFormat="1" applyFill="1" applyBorder="1" applyAlignment="1">
      <alignment horizontal="center"/>
    </xf>
    <xf numFmtId="0" fontId="3" fillId="0" borderId="41" xfId="0" applyFont="1" applyBorder="1"/>
    <xf numFmtId="166" fontId="3" fillId="24" borderId="43" xfId="43" applyNumberFormat="1" applyFill="1" applyBorder="1" applyAlignment="1">
      <alignment horizontal="center"/>
    </xf>
    <xf numFmtId="166" fontId="3" fillId="24" borderId="44" xfId="43" applyNumberFormat="1" applyFill="1" applyBorder="1" applyAlignment="1">
      <alignment horizontal="center"/>
    </xf>
    <xf numFmtId="0" fontId="3" fillId="0" borderId="44" xfId="0" applyFont="1" applyBorder="1"/>
    <xf numFmtId="10" fontId="3" fillId="0" borderId="45" xfId="0" applyNumberFormat="1" applyFont="1" applyBorder="1"/>
    <xf numFmtId="166" fontId="3" fillId="24" borderId="46" xfId="43" applyNumberFormat="1" applyFill="1" applyBorder="1" applyAlignment="1">
      <alignment horizontal="center"/>
    </xf>
    <xf numFmtId="10" fontId="3" fillId="0" borderId="47" xfId="0" applyNumberFormat="1" applyFont="1" applyBorder="1"/>
    <xf numFmtId="10" fontId="3" fillId="0" borderId="50" xfId="0" applyNumberFormat="1" applyFont="1" applyBorder="1"/>
    <xf numFmtId="10" fontId="3" fillId="0" borderId="51" xfId="0" applyNumberFormat="1" applyFont="1" applyBorder="1"/>
    <xf numFmtId="179" fontId="3" fillId="0" borderId="44" xfId="0" applyNumberFormat="1" applyFont="1" applyBorder="1"/>
    <xf numFmtId="179" fontId="3" fillId="0" borderId="41" xfId="0" applyNumberFormat="1" applyFont="1" applyBorder="1"/>
    <xf numFmtId="4" fontId="0" fillId="0" borderId="0" xfId="0" applyNumberFormat="1"/>
    <xf numFmtId="3" fontId="0" fillId="0" borderId="0" xfId="0" applyNumberFormat="1"/>
    <xf numFmtId="0" fontId="46" fillId="0" borderId="0" xfId="0" applyFont="1"/>
    <xf numFmtId="0" fontId="41" fillId="36" borderId="0" xfId="0" applyFont="1" applyFill="1"/>
    <xf numFmtId="0" fontId="42" fillId="36" borderId="0" xfId="0" applyFont="1" applyFill="1"/>
    <xf numFmtId="0" fontId="43" fillId="36" borderId="0" xfId="0" applyFont="1" applyFill="1"/>
    <xf numFmtId="14" fontId="44" fillId="36" borderId="0" xfId="0" applyNumberFormat="1" applyFont="1" applyFill="1" applyAlignment="1">
      <alignment horizontal="center"/>
    </xf>
    <xf numFmtId="0" fontId="45" fillId="36" borderId="0" xfId="0" applyFont="1" applyFill="1"/>
    <xf numFmtId="183" fontId="42" fillId="36" borderId="0" xfId="0" applyNumberFormat="1" applyFont="1" applyFill="1" applyAlignment="1">
      <alignment horizontal="center" vertical="center"/>
    </xf>
    <xf numFmtId="184" fontId="42" fillId="36" borderId="0" xfId="0" applyNumberFormat="1" applyFont="1" applyFill="1" applyAlignment="1">
      <alignment horizontal="center" vertical="center"/>
    </xf>
    <xf numFmtId="0" fontId="46" fillId="0" borderId="0" xfId="0" applyFont="1" applyAlignment="1">
      <alignment vertical="center"/>
    </xf>
    <xf numFmtId="0" fontId="46" fillId="0" borderId="0" xfId="0" applyFont="1" applyAlignment="1">
      <alignment horizontal="left" vertical="center" indent="1"/>
    </xf>
    <xf numFmtId="0" fontId="41" fillId="0" borderId="0" xfId="0" applyFont="1"/>
    <xf numFmtId="183" fontId="42" fillId="0" borderId="0" xfId="0" applyNumberFormat="1" applyFont="1" applyAlignment="1">
      <alignment horizontal="center" vertical="center"/>
    </xf>
    <xf numFmtId="182" fontId="46" fillId="0" borderId="0" xfId="0" applyNumberFormat="1" applyFont="1"/>
    <xf numFmtId="182" fontId="46" fillId="0" borderId="0" xfId="0" applyNumberFormat="1" applyFont="1" applyAlignment="1">
      <alignment horizontal="center"/>
    </xf>
    <xf numFmtId="182" fontId="47" fillId="0" borderId="0" xfId="0" applyNumberFormat="1" applyFont="1"/>
    <xf numFmtId="182" fontId="48" fillId="35" borderId="0" xfId="0" applyNumberFormat="1" applyFont="1" applyFill="1"/>
    <xf numFmtId="0" fontId="50" fillId="36" borderId="0" xfId="0" applyFont="1" applyFill="1"/>
    <xf numFmtId="0" fontId="48" fillId="0" borderId="0" xfId="0" applyFont="1" applyAlignment="1">
      <alignment vertical="center"/>
    </xf>
    <xf numFmtId="0" fontId="48" fillId="0" borderId="0" xfId="0" applyFont="1"/>
    <xf numFmtId="182" fontId="48" fillId="0" borderId="0" xfId="0" applyNumberFormat="1" applyFont="1"/>
    <xf numFmtId="0" fontId="51" fillId="0" borderId="0" xfId="0" applyFont="1" applyAlignment="1">
      <alignment horizontal="left" vertical="center"/>
    </xf>
    <xf numFmtId="0" fontId="52" fillId="0" borderId="0" xfId="0" applyFont="1"/>
    <xf numFmtId="182" fontId="53" fillId="0" borderId="0" xfId="0" applyNumberFormat="1" applyFont="1"/>
    <xf numFmtId="182" fontId="54" fillId="35" borderId="0" xfId="0" applyNumberFormat="1" applyFont="1" applyFill="1"/>
    <xf numFmtId="172" fontId="3" fillId="24" borderId="0" xfId="44" applyNumberFormat="1" applyFill="1" applyAlignment="1">
      <alignment horizontal="center"/>
    </xf>
    <xf numFmtId="0" fontId="55" fillId="0" borderId="0" xfId="51"/>
    <xf numFmtId="0" fontId="57" fillId="0" borderId="0" xfId="0" applyFont="1"/>
    <xf numFmtId="0" fontId="31" fillId="36" borderId="33" xfId="44" applyFont="1" applyFill="1" applyBorder="1" applyAlignment="1">
      <alignment horizontal="centerContinuous"/>
    </xf>
    <xf numFmtId="0" fontId="37" fillId="36" borderId="33" xfId="44" applyFont="1" applyFill="1" applyBorder="1" applyAlignment="1">
      <alignment horizontal="centerContinuous" vertical="center"/>
    </xf>
    <xf numFmtId="0" fontId="37" fillId="36" borderId="34" xfId="44" applyFont="1" applyFill="1" applyBorder="1" applyAlignment="1">
      <alignment horizontal="centerContinuous"/>
    </xf>
    <xf numFmtId="0" fontId="33" fillId="24" borderId="10" xfId="43" applyFont="1" applyFill="1" applyBorder="1" applyAlignment="1">
      <alignment horizontal="center"/>
    </xf>
    <xf numFmtId="166" fontId="33" fillId="24" borderId="10" xfId="0" applyNumberFormat="1" applyFont="1" applyFill="1" applyBorder="1" applyAlignment="1">
      <alignment horizontal="center"/>
    </xf>
    <xf numFmtId="0" fontId="33" fillId="28" borderId="10" xfId="43" applyFont="1" applyFill="1" applyBorder="1" applyAlignment="1">
      <alignment horizontal="center"/>
    </xf>
    <xf numFmtId="0" fontId="33" fillId="28" borderId="10" xfId="0" applyFont="1" applyFill="1" applyBorder="1" applyAlignment="1">
      <alignment horizontal="center"/>
    </xf>
    <xf numFmtId="164" fontId="33" fillId="24" borderId="10" xfId="0" applyNumberFormat="1" applyFont="1" applyFill="1" applyBorder="1" applyAlignment="1">
      <alignment horizontal="center"/>
    </xf>
    <xf numFmtId="168" fontId="33" fillId="24" borderId="10" xfId="0" applyNumberFormat="1" applyFont="1" applyFill="1" applyBorder="1" applyAlignment="1">
      <alignment horizontal="center"/>
    </xf>
    <xf numFmtId="10" fontId="33" fillId="24" borderId="10" xfId="0" applyNumberFormat="1" applyFont="1" applyFill="1" applyBorder="1" applyAlignment="1">
      <alignment horizontal="center"/>
    </xf>
    <xf numFmtId="167" fontId="33" fillId="24" borderId="10" xfId="0" applyNumberFormat="1" applyFont="1" applyFill="1" applyBorder="1" applyAlignment="1">
      <alignment horizontal="center"/>
    </xf>
    <xf numFmtId="0" fontId="3" fillId="0" borderId="0" xfId="44"/>
    <xf numFmtId="0" fontId="3" fillId="24" borderId="38" xfId="44" applyFill="1" applyBorder="1" applyAlignment="1">
      <alignment horizontal="center"/>
    </xf>
    <xf numFmtId="166" fontId="37" fillId="30" borderId="10" xfId="0" applyNumberFormat="1" applyFont="1" applyFill="1" applyBorder="1" applyAlignment="1">
      <alignment horizontal="center"/>
    </xf>
    <xf numFmtId="166" fontId="37" fillId="39" borderId="10" xfId="0" applyNumberFormat="1" applyFont="1" applyFill="1" applyBorder="1" applyAlignment="1">
      <alignment horizontal="center"/>
    </xf>
    <xf numFmtId="166" fontId="37" fillId="40" borderId="10" xfId="0" applyNumberFormat="1" applyFont="1" applyFill="1" applyBorder="1" applyAlignment="1">
      <alignment horizontal="centerContinuous"/>
    </xf>
    <xf numFmtId="0" fontId="54" fillId="0" borderId="0" xfId="0" applyFont="1" applyAlignment="1">
      <alignment vertical="center"/>
    </xf>
    <xf numFmtId="0" fontId="37" fillId="36" borderId="71" xfId="43" applyFont="1" applyFill="1" applyBorder="1" applyAlignment="1">
      <alignment horizontal="centerContinuous"/>
    </xf>
    <xf numFmtId="0" fontId="37" fillId="36" borderId="0" xfId="43" applyFont="1" applyFill="1" applyAlignment="1">
      <alignment horizontal="centerContinuous"/>
    </xf>
    <xf numFmtId="0" fontId="37" fillId="36" borderId="0" xfId="44" applyFont="1" applyFill="1" applyAlignment="1">
      <alignment horizontal="centerContinuous"/>
    </xf>
    <xf numFmtId="0" fontId="37" fillId="36" borderId="0" xfId="44" applyFont="1" applyFill="1" applyAlignment="1">
      <alignment horizontal="centerContinuous" vertical="center"/>
    </xf>
    <xf numFmtId="0" fontId="33" fillId="24" borderId="14" xfId="0" applyFont="1" applyFill="1" applyBorder="1" applyAlignment="1">
      <alignment horizontal="centerContinuous"/>
    </xf>
    <xf numFmtId="0" fontId="33" fillId="24" borderId="11" xfId="0" applyFont="1" applyFill="1" applyBorder="1" applyAlignment="1">
      <alignment horizontal="centerContinuous"/>
    </xf>
    <xf numFmtId="185" fontId="0" fillId="0" borderId="0" xfId="0" applyNumberFormat="1"/>
    <xf numFmtId="10" fontId="33" fillId="24" borderId="27" xfId="44" applyNumberFormat="1" applyFont="1" applyFill="1" applyBorder="1" applyAlignment="1">
      <alignment horizontal="center"/>
    </xf>
    <xf numFmtId="166" fontId="37" fillId="0" borderId="42" xfId="0" applyNumberFormat="1" applyFont="1" applyBorder="1" applyAlignment="1">
      <alignment horizontal="center"/>
    </xf>
    <xf numFmtId="0" fontId="34" fillId="24" borderId="71" xfId="44" applyFont="1" applyFill="1" applyBorder="1"/>
    <xf numFmtId="166" fontId="37" fillId="0" borderId="72" xfId="0" applyNumberFormat="1" applyFont="1" applyBorder="1" applyAlignment="1">
      <alignment horizontal="centerContinuous"/>
    </xf>
    <xf numFmtId="0" fontId="56" fillId="0" borderId="0" xfId="51" applyFont="1"/>
    <xf numFmtId="171" fontId="37" fillId="0" borderId="0" xfId="45" applyNumberFormat="1" applyFont="1" applyFill="1" applyBorder="1" applyAlignment="1">
      <alignment horizontal="centerContinuous" vertical="center"/>
    </xf>
    <xf numFmtId="0" fontId="31" fillId="0" borderId="0" xfId="44" applyFont="1" applyAlignment="1">
      <alignment horizontal="centerContinuous"/>
    </xf>
    <xf numFmtId="0" fontId="37" fillId="0" borderId="0" xfId="44" applyFont="1" applyAlignment="1">
      <alignment horizontal="centerContinuous" vertical="center"/>
    </xf>
    <xf numFmtId="173" fontId="37" fillId="0" borderId="0" xfId="44" applyNumberFormat="1" applyFont="1" applyAlignment="1">
      <alignment horizontal="centerContinuous"/>
    </xf>
    <xf numFmtId="0" fontId="37" fillId="0" borderId="0" xfId="44" applyFont="1" applyAlignment="1">
      <alignment horizontal="centerContinuous"/>
    </xf>
    <xf numFmtId="0" fontId="37" fillId="36" borderId="32" xfId="44" applyFont="1" applyFill="1" applyBorder="1" applyAlignment="1">
      <alignment horizontal="centerContinuous" vertical="center"/>
    </xf>
    <xf numFmtId="0" fontId="37" fillId="36" borderId="33" xfId="44" applyFont="1" applyFill="1" applyBorder="1" applyAlignment="1">
      <alignment horizontal="centerContinuous"/>
    </xf>
    <xf numFmtId="0" fontId="37" fillId="36" borderId="35" xfId="44" applyFont="1" applyFill="1" applyBorder="1" applyAlignment="1">
      <alignment horizontal="centerContinuous" vertical="center" wrapText="1"/>
    </xf>
    <xf numFmtId="178" fontId="3" fillId="41" borderId="37" xfId="45" applyNumberFormat="1" applyFont="1" applyFill="1" applyBorder="1" applyAlignment="1">
      <alignment horizontal="center"/>
    </xf>
    <xf numFmtId="178" fontId="3" fillId="0" borderId="37" xfId="45" applyNumberFormat="1" applyFont="1" applyFill="1" applyBorder="1" applyAlignment="1">
      <alignment horizontal="center"/>
    </xf>
    <xf numFmtId="167" fontId="3" fillId="0" borderId="37" xfId="45" applyNumberFormat="1" applyFont="1" applyFill="1" applyBorder="1" applyAlignment="1">
      <alignment horizontal="center"/>
    </xf>
    <xf numFmtId="182" fontId="33" fillId="0" borderId="37" xfId="44" applyNumberFormat="1" applyFont="1" applyBorder="1" applyAlignment="1">
      <alignment horizontal="center" vertical="center"/>
    </xf>
    <xf numFmtId="0" fontId="36" fillId="0" borderId="0" xfId="44" applyFont="1" applyAlignment="1">
      <alignment horizontal="center" vertical="center"/>
    </xf>
    <xf numFmtId="0" fontId="36" fillId="24" borderId="0" xfId="44" applyFont="1" applyFill="1" applyAlignment="1">
      <alignment horizontal="center" vertical="center"/>
    </xf>
    <xf numFmtId="179" fontId="3" fillId="24" borderId="37" xfId="44" applyNumberFormat="1" applyFill="1" applyBorder="1" applyAlignment="1">
      <alignment horizontal="center"/>
    </xf>
    <xf numFmtId="179" fontId="3" fillId="32" borderId="39" xfId="44" applyNumberFormat="1" applyFill="1" applyBorder="1" applyAlignment="1">
      <alignment horizontal="center"/>
    </xf>
    <xf numFmtId="179" fontId="3" fillId="0" borderId="37" xfId="44" applyNumberFormat="1" applyBorder="1" applyAlignment="1">
      <alignment horizontal="center"/>
    </xf>
    <xf numFmtId="174" fontId="3" fillId="0" borderId="37" xfId="46" applyFont="1" applyFill="1" applyBorder="1" applyAlignment="1">
      <alignment horizontal="center"/>
    </xf>
    <xf numFmtId="174" fontId="3" fillId="0" borderId="37" xfId="44" applyNumberFormat="1" applyBorder="1" applyAlignment="1">
      <alignment horizontal="center"/>
    </xf>
    <xf numFmtId="179" fontId="33" fillId="24" borderId="37" xfId="44" applyNumberFormat="1" applyFont="1" applyFill="1" applyBorder="1" applyAlignment="1">
      <alignment horizontal="center"/>
    </xf>
    <xf numFmtId="9" fontId="54" fillId="35" borderId="0" xfId="32" applyFont="1" applyFill="1" applyAlignment="1">
      <alignment horizontal="center"/>
    </xf>
    <xf numFmtId="182" fontId="48" fillId="0" borderId="0" xfId="0" applyNumberFormat="1" applyFont="1" applyAlignment="1">
      <alignment horizontal="center"/>
    </xf>
    <xf numFmtId="182" fontId="48" fillId="35" borderId="0" xfId="0" applyNumberFormat="1" applyFont="1" applyFill="1" applyAlignment="1">
      <alignment horizontal="center"/>
    </xf>
    <xf numFmtId="172" fontId="31" fillId="24" borderId="0" xfId="44" applyNumberFormat="1" applyFont="1" applyFill="1"/>
    <xf numFmtId="166" fontId="3" fillId="0" borderId="0" xfId="44" applyNumberFormat="1" applyAlignment="1">
      <alignment horizontal="center"/>
    </xf>
    <xf numFmtId="169" fontId="3" fillId="24" borderId="40" xfId="44" applyNumberFormat="1" applyFill="1" applyBorder="1"/>
    <xf numFmtId="166" fontId="3" fillId="0" borderId="73" xfId="44" applyNumberFormat="1" applyBorder="1" applyAlignment="1">
      <alignment horizontal="center"/>
    </xf>
    <xf numFmtId="166" fontId="3" fillId="0" borderId="42" xfId="44" applyNumberFormat="1" applyBorder="1" applyAlignment="1">
      <alignment horizontal="center"/>
    </xf>
    <xf numFmtId="166" fontId="3" fillId="0" borderId="71" xfId="44" applyNumberFormat="1" applyBorder="1" applyAlignment="1">
      <alignment horizontal="center"/>
    </xf>
    <xf numFmtId="174" fontId="3" fillId="0" borderId="74" xfId="44" applyNumberFormat="1" applyBorder="1" applyAlignment="1">
      <alignment horizontal="center"/>
    </xf>
    <xf numFmtId="174" fontId="3" fillId="0" borderId="74" xfId="46" applyFont="1" applyFill="1" applyBorder="1" applyAlignment="1">
      <alignment horizontal="center"/>
    </xf>
    <xf numFmtId="0" fontId="3" fillId="24" borderId="73" xfId="44" applyFill="1" applyBorder="1" applyAlignment="1">
      <alignment horizontal="center"/>
    </xf>
    <xf numFmtId="166" fontId="22" fillId="24" borderId="0" xfId="43" applyNumberFormat="1" applyFont="1" applyFill="1" applyAlignment="1">
      <alignment horizontal="center"/>
    </xf>
    <xf numFmtId="0" fontId="3" fillId="24" borderId="42" xfId="44" applyFill="1" applyBorder="1" applyAlignment="1">
      <alignment horizontal="center"/>
    </xf>
    <xf numFmtId="178" fontId="3" fillId="41" borderId="74" xfId="45" applyNumberFormat="1" applyFont="1" applyFill="1" applyBorder="1" applyAlignment="1">
      <alignment horizontal="center"/>
    </xf>
    <xf numFmtId="167" fontId="3" fillId="0" borderId="74" xfId="45" applyNumberFormat="1" applyFont="1" applyFill="1" applyBorder="1" applyAlignment="1">
      <alignment horizontal="center"/>
    </xf>
    <xf numFmtId="179" fontId="3" fillId="24" borderId="74" xfId="44" applyNumberFormat="1" applyFill="1" applyBorder="1" applyAlignment="1">
      <alignment horizontal="center"/>
    </xf>
    <xf numFmtId="179" fontId="3" fillId="0" borderId="74" xfId="44" applyNumberFormat="1" applyBorder="1" applyAlignment="1">
      <alignment horizontal="center"/>
    </xf>
    <xf numFmtId="167" fontId="22" fillId="24" borderId="0" xfId="43" applyNumberFormat="1" applyFont="1" applyFill="1" applyAlignment="1">
      <alignment horizontal="center"/>
    </xf>
    <xf numFmtId="177" fontId="22" fillId="24" borderId="0" xfId="43" applyNumberFormat="1" applyFont="1" applyFill="1" applyAlignment="1">
      <alignment horizontal="center"/>
    </xf>
    <xf numFmtId="166" fontId="3" fillId="42" borderId="48" xfId="43" applyNumberFormat="1" applyFill="1" applyBorder="1" applyAlignment="1">
      <alignment horizontal="center"/>
    </xf>
    <xf numFmtId="166" fontId="3" fillId="42" borderId="49" xfId="43" applyNumberFormat="1" applyFill="1" applyBorder="1" applyAlignment="1">
      <alignment horizontal="center"/>
    </xf>
    <xf numFmtId="0" fontId="3" fillId="42" borderId="49" xfId="0" applyFont="1" applyFill="1" applyBorder="1"/>
    <xf numFmtId="179" fontId="3" fillId="42" borderId="49" xfId="0" applyNumberFormat="1" applyFont="1" applyFill="1" applyBorder="1"/>
    <xf numFmtId="10" fontId="3" fillId="42" borderId="50" xfId="0" applyNumberFormat="1" applyFont="1" applyFill="1" applyBorder="1"/>
    <xf numFmtId="0" fontId="3" fillId="0" borderId="0" xfId="0" applyFont="1"/>
    <xf numFmtId="166" fontId="3" fillId="0" borderId="48" xfId="43" applyNumberFormat="1" applyBorder="1" applyAlignment="1">
      <alignment horizontal="center"/>
    </xf>
    <xf numFmtId="166" fontId="3" fillId="0" borderId="49" xfId="43" applyNumberFormat="1" applyBorder="1" applyAlignment="1">
      <alignment horizontal="center"/>
    </xf>
    <xf numFmtId="174" fontId="33" fillId="38" borderId="37" xfId="46" applyFont="1" applyFill="1" applyBorder="1" applyAlignment="1">
      <alignment horizontal="center"/>
    </xf>
    <xf numFmtId="179" fontId="33" fillId="38" borderId="37" xfId="44" applyNumberFormat="1" applyFont="1" applyFill="1" applyBorder="1" applyAlignment="1">
      <alignment horizontal="center"/>
    </xf>
    <xf numFmtId="179" fontId="33" fillId="38" borderId="74" xfId="44" applyNumberFormat="1" applyFont="1" applyFill="1" applyBorder="1" applyAlignment="1">
      <alignment horizontal="center"/>
    </xf>
    <xf numFmtId="0" fontId="3" fillId="0" borderId="49" xfId="0" applyFont="1" applyBorder="1"/>
    <xf numFmtId="0" fontId="3" fillId="0" borderId="75" xfId="0" applyFont="1" applyBorder="1"/>
    <xf numFmtId="166" fontId="3" fillId="0" borderId="75" xfId="43" applyNumberFormat="1" applyBorder="1" applyAlignment="1">
      <alignment horizontal="center"/>
    </xf>
    <xf numFmtId="0" fontId="2" fillId="24" borderId="0" xfId="44" applyFont="1" applyFill="1"/>
    <xf numFmtId="169" fontId="2" fillId="24" borderId="0" xfId="44" applyNumberFormat="1" applyFont="1" applyFill="1"/>
    <xf numFmtId="0" fontId="2" fillId="24" borderId="0" xfId="44" applyFont="1" applyFill="1" applyAlignment="1">
      <alignment vertical="center"/>
    </xf>
    <xf numFmtId="175" fontId="58" fillId="24" borderId="37" xfId="46" applyNumberFormat="1" applyFont="1" applyFill="1" applyBorder="1" applyAlignment="1">
      <alignment horizontal="center"/>
    </xf>
    <xf numFmtId="175" fontId="2" fillId="0" borderId="37" xfId="46" applyNumberFormat="1" applyFont="1" applyFill="1" applyBorder="1" applyAlignment="1">
      <alignment horizontal="center"/>
    </xf>
    <xf numFmtId="37" fontId="2" fillId="24" borderId="0" xfId="44" applyNumberFormat="1" applyFont="1" applyFill="1"/>
    <xf numFmtId="186" fontId="22" fillId="24" borderId="0" xfId="43" applyNumberFormat="1" applyFont="1" applyFill="1" applyAlignment="1">
      <alignment horizontal="left" wrapText="1"/>
    </xf>
    <xf numFmtId="175" fontId="3" fillId="0" borderId="74" xfId="46" applyNumberFormat="1" applyFont="1" applyFill="1" applyBorder="1" applyAlignment="1">
      <alignment horizontal="center"/>
    </xf>
    <xf numFmtId="37" fontId="3" fillId="29" borderId="74" xfId="44" applyNumberFormat="1" applyFill="1" applyBorder="1" applyAlignment="1">
      <alignment horizontal="center"/>
    </xf>
    <xf numFmtId="187" fontId="0" fillId="0" borderId="0" xfId="0" applyNumberFormat="1"/>
    <xf numFmtId="166" fontId="3" fillId="24" borderId="0" xfId="43" applyNumberFormat="1" applyFill="1" applyAlignment="1">
      <alignment horizontal="center"/>
    </xf>
    <xf numFmtId="0" fontId="48" fillId="0" borderId="0" xfId="0" applyFont="1" applyAlignment="1">
      <alignment horizontal="left" vertical="center"/>
    </xf>
    <xf numFmtId="166" fontId="33" fillId="24" borderId="0" xfId="43" applyNumberFormat="1" applyFont="1" applyFill="1" applyAlignment="1">
      <alignment horizontal="center"/>
    </xf>
    <xf numFmtId="187" fontId="33" fillId="0" borderId="0" xfId="0" applyNumberFormat="1" applyFont="1"/>
    <xf numFmtId="187" fontId="33" fillId="42" borderId="0" xfId="0" applyNumberFormat="1" applyFont="1" applyFill="1"/>
    <xf numFmtId="167" fontId="22" fillId="0" borderId="10" xfId="32" applyNumberFormat="1" applyFont="1" applyFill="1" applyBorder="1" applyAlignment="1" applyProtection="1">
      <alignment horizontal="center"/>
      <protection locked="0"/>
    </xf>
    <xf numFmtId="178" fontId="38" fillId="0" borderId="37" xfId="45" applyNumberFormat="1" applyFont="1" applyFill="1" applyBorder="1" applyAlignment="1">
      <alignment horizontal="center"/>
    </xf>
    <xf numFmtId="0" fontId="47" fillId="0" borderId="0" xfId="0" applyFont="1" applyAlignment="1">
      <alignment horizontal="left" vertical="center"/>
    </xf>
    <xf numFmtId="0" fontId="47" fillId="0" borderId="0" xfId="0" applyFont="1"/>
    <xf numFmtId="10" fontId="3" fillId="26" borderId="47" xfId="0" applyNumberFormat="1" applyFont="1" applyFill="1" applyBorder="1"/>
    <xf numFmtId="10" fontId="3" fillId="26" borderId="50" xfId="0" applyNumberFormat="1" applyFont="1" applyFill="1" applyBorder="1"/>
    <xf numFmtId="10" fontId="3" fillId="26" borderId="51" xfId="0" applyNumberFormat="1" applyFont="1" applyFill="1" applyBorder="1"/>
    <xf numFmtId="179" fontId="3" fillId="32" borderId="76" xfId="44" applyNumberFormat="1" applyFill="1" applyBorder="1" applyAlignment="1">
      <alignment horizontal="center"/>
    </xf>
    <xf numFmtId="0" fontId="3" fillId="24" borderId="74" xfId="44" applyFill="1" applyBorder="1" applyAlignment="1">
      <alignment horizontal="center"/>
    </xf>
    <xf numFmtId="182" fontId="46" fillId="38" borderId="0" xfId="0" applyNumberFormat="1" applyFont="1" applyFill="1"/>
    <xf numFmtId="182" fontId="48" fillId="38" borderId="0" xfId="0" applyNumberFormat="1" applyFont="1" applyFill="1"/>
    <xf numFmtId="182" fontId="47" fillId="38" borderId="0" xfId="0" applyNumberFormat="1" applyFont="1" applyFill="1"/>
    <xf numFmtId="182" fontId="48" fillId="38" borderId="0" xfId="0" applyNumberFormat="1" applyFont="1" applyFill="1" applyAlignment="1">
      <alignment horizontal="center"/>
    </xf>
    <xf numFmtId="182" fontId="46" fillId="38" borderId="0" xfId="0" applyNumberFormat="1" applyFont="1" applyFill="1" applyAlignment="1">
      <alignment horizontal="center"/>
    </xf>
    <xf numFmtId="182" fontId="53" fillId="38" borderId="0" xfId="0" applyNumberFormat="1" applyFont="1" applyFill="1"/>
    <xf numFmtId="9" fontId="53" fillId="38" borderId="0" xfId="32" applyFont="1" applyFill="1" applyAlignment="1">
      <alignment horizontal="center"/>
    </xf>
    <xf numFmtId="0" fontId="3" fillId="38" borderId="0" xfId="0" applyFont="1" applyFill="1"/>
    <xf numFmtId="9" fontId="53" fillId="0" borderId="0" xfId="32" applyFont="1" applyAlignment="1">
      <alignment horizontal="center"/>
    </xf>
    <xf numFmtId="0" fontId="60" fillId="24" borderId="0" xfId="43" applyFont="1" applyFill="1"/>
    <xf numFmtId="0" fontId="49" fillId="37" borderId="0" xfId="0" applyFont="1" applyFill="1" applyAlignment="1">
      <alignment horizontal="centerContinuous" vertical="center"/>
    </xf>
    <xf numFmtId="174" fontId="33" fillId="0" borderId="37" xfId="46" applyFont="1" applyFill="1" applyBorder="1" applyAlignment="1">
      <alignment horizontal="center"/>
    </xf>
    <xf numFmtId="165" fontId="28" fillId="25" borderId="13" xfId="43" applyNumberFormat="1" applyFont="1" applyFill="1" applyBorder="1" applyAlignment="1">
      <alignment horizontal="centerContinuous" vertical="center" wrapText="1"/>
    </xf>
    <xf numFmtId="165" fontId="28" fillId="25" borderId="12" xfId="43" applyNumberFormat="1" applyFont="1" applyFill="1" applyBorder="1" applyAlignment="1">
      <alignment horizontal="centerContinuous" vertical="center"/>
    </xf>
    <xf numFmtId="1" fontId="22" fillId="24" borderId="0" xfId="43" applyNumberFormat="1" applyFont="1" applyFill="1" applyAlignment="1">
      <alignment horizontal="center"/>
    </xf>
    <xf numFmtId="165" fontId="22" fillId="26" borderId="10" xfId="43" applyNumberFormat="1" applyFont="1" applyFill="1" applyBorder="1" applyAlignment="1">
      <alignment horizontal="center"/>
    </xf>
    <xf numFmtId="0" fontId="37" fillId="31" borderId="35" xfId="44" applyFont="1" applyFill="1" applyBorder="1" applyAlignment="1">
      <alignment horizontal="centerContinuous" vertical="center"/>
    </xf>
    <xf numFmtId="176" fontId="3" fillId="0" borderId="37" xfId="44" applyNumberFormat="1" applyBorder="1" applyAlignment="1">
      <alignment horizontal="center"/>
    </xf>
    <xf numFmtId="176" fontId="3" fillId="0" borderId="77" xfId="44" applyNumberFormat="1" applyBorder="1" applyAlignment="1">
      <alignment horizontal="center"/>
    </xf>
    <xf numFmtId="0" fontId="3" fillId="24" borderId="77" xfId="44" applyFill="1" applyBorder="1" applyAlignment="1">
      <alignment horizontal="center"/>
    </xf>
    <xf numFmtId="37" fontId="3" fillId="24" borderId="77" xfId="44" applyNumberFormat="1" applyFill="1" applyBorder="1" applyAlignment="1">
      <alignment horizontal="center"/>
    </xf>
    <xf numFmtId="0" fontId="33" fillId="26" borderId="0" xfId="0" applyFont="1" applyFill="1"/>
    <xf numFmtId="188" fontId="22" fillId="24" borderId="0" xfId="43" applyNumberFormat="1" applyFont="1" applyFill="1"/>
    <xf numFmtId="0" fontId="33" fillId="43" borderId="0" xfId="0" applyFont="1" applyFill="1" applyAlignment="1">
      <alignment horizontal="center"/>
    </xf>
    <xf numFmtId="0" fontId="3" fillId="0" borderId="0" xfId="0" applyFont="1" applyAlignment="1">
      <alignment horizontal="center"/>
    </xf>
    <xf numFmtId="179" fontId="3" fillId="0" borderId="0" xfId="0" applyNumberFormat="1" applyFont="1" applyAlignment="1">
      <alignment horizontal="center"/>
    </xf>
    <xf numFmtId="179" fontId="0" fillId="0" borderId="0" xfId="0" applyNumberFormat="1" applyAlignment="1">
      <alignment horizontal="center"/>
    </xf>
    <xf numFmtId="189"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xf>
    <xf numFmtId="0" fontId="33" fillId="44" borderId="0" xfId="0" applyFont="1" applyFill="1" applyAlignment="1">
      <alignment horizontal="centerContinuous" vertical="center"/>
    </xf>
    <xf numFmtId="0" fontId="0" fillId="44" borderId="0" xfId="0" applyFill="1" applyAlignment="1">
      <alignment horizontal="centerContinuous" vertical="center"/>
    </xf>
    <xf numFmtId="181" fontId="3" fillId="0" borderId="0" xfId="50" applyNumberFormat="1" applyFont="1" applyAlignment="1">
      <alignment horizontal="center"/>
    </xf>
    <xf numFmtId="10" fontId="55" fillId="0" borderId="0" xfId="51" applyNumberFormat="1" applyAlignment="1">
      <alignment horizontal="center"/>
    </xf>
    <xf numFmtId="0" fontId="56" fillId="0" borderId="78" xfId="51" applyFont="1" applyBorder="1" applyAlignment="1">
      <alignment horizontal="center"/>
    </xf>
    <xf numFmtId="0" fontId="55" fillId="26" borderId="0" xfId="51" applyFill="1"/>
    <xf numFmtId="190" fontId="0" fillId="0" borderId="0" xfId="0" applyNumberFormat="1"/>
    <xf numFmtId="191" fontId="22" fillId="24" borderId="0" xfId="43" applyNumberFormat="1" applyFont="1" applyFill="1"/>
    <xf numFmtId="0" fontId="61" fillId="0" borderId="0" xfId="0" applyFont="1" applyAlignment="1">
      <alignment vertical="center"/>
    </xf>
    <xf numFmtId="0" fontId="0" fillId="45" borderId="0" xfId="0" applyFill="1"/>
    <xf numFmtId="0" fontId="62" fillId="0" borderId="0" xfId="0" applyFont="1" applyAlignment="1">
      <alignment horizontal="right" vertical="center" wrapText="1"/>
    </xf>
    <xf numFmtId="10" fontId="55" fillId="26" borderId="0" xfId="32" applyNumberFormat="1" applyFont="1" applyFill="1" applyAlignment="1">
      <alignment horizontal="center"/>
    </xf>
    <xf numFmtId="10" fontId="55" fillId="26" borderId="0" xfId="51" applyNumberFormat="1" applyFill="1" applyAlignment="1">
      <alignment horizontal="center"/>
    </xf>
    <xf numFmtId="167" fontId="22" fillId="0" borderId="0" xfId="52" applyNumberFormat="1" applyFont="1" applyFill="1" applyBorder="1" applyAlignment="1" applyProtection="1">
      <alignment horizontal="center"/>
      <protection locked="0"/>
    </xf>
    <xf numFmtId="192" fontId="0" fillId="0" borderId="0" xfId="0" applyNumberFormat="1"/>
    <xf numFmtId="166" fontId="3" fillId="0" borderId="79" xfId="44" applyNumberFormat="1" applyBorder="1" applyAlignment="1">
      <alignment horizontal="center"/>
    </xf>
    <xf numFmtId="166" fontId="3" fillId="0" borderId="16" xfId="44" applyNumberFormat="1" applyBorder="1" applyAlignment="1">
      <alignment horizontal="center"/>
    </xf>
    <xf numFmtId="0" fontId="33" fillId="28" borderId="80" xfId="44" applyFont="1" applyFill="1" applyBorder="1" applyAlignment="1">
      <alignment horizontal="center" vertical="center"/>
    </xf>
    <xf numFmtId="166" fontId="3" fillId="0" borderId="81" xfId="44" applyNumberFormat="1" applyBorder="1" applyAlignment="1">
      <alignment horizontal="center"/>
    </xf>
    <xf numFmtId="169" fontId="3" fillId="24" borderId="73" xfId="44" applyNumberFormat="1" applyFill="1" applyBorder="1"/>
    <xf numFmtId="0" fontId="32" fillId="24" borderId="73" xfId="44" applyFont="1" applyFill="1" applyBorder="1" applyAlignment="1">
      <alignment horizontal="right"/>
    </xf>
    <xf numFmtId="0" fontId="32" fillId="24" borderId="42" xfId="44" applyFont="1" applyFill="1" applyBorder="1" applyAlignment="1">
      <alignment horizontal="right"/>
    </xf>
    <xf numFmtId="166" fontId="3" fillId="24" borderId="73" xfId="44" applyNumberFormat="1" applyFill="1" applyBorder="1" applyAlignment="1">
      <alignment horizontal="center"/>
    </xf>
    <xf numFmtId="174" fontId="3" fillId="46" borderId="37" xfId="46" applyFont="1" applyFill="1" applyBorder="1" applyAlignment="1">
      <alignment horizontal="center"/>
    </xf>
    <xf numFmtId="179" fontId="3" fillId="46" borderId="37" xfId="44" applyNumberFormat="1" applyFill="1" applyBorder="1" applyAlignment="1">
      <alignment horizontal="center"/>
    </xf>
    <xf numFmtId="182" fontId="0" fillId="0" borderId="0" xfId="0" applyNumberFormat="1"/>
    <xf numFmtId="10" fontId="3" fillId="24" borderId="0" xfId="44" applyNumberFormat="1" applyFill="1"/>
    <xf numFmtId="179" fontId="3" fillId="24" borderId="0" xfId="44" applyNumberFormat="1" applyFill="1"/>
    <xf numFmtId="0" fontId="0" fillId="0" borderId="0" xfId="0" applyAlignment="1">
      <alignment horizontal="centerContinuous" vertical="center"/>
    </xf>
    <xf numFmtId="174" fontId="31" fillId="0" borderId="37" xfId="46" applyFont="1" applyFill="1" applyBorder="1" applyAlignment="1">
      <alignment horizontal="center"/>
    </xf>
    <xf numFmtId="174" fontId="63" fillId="38" borderId="37" xfId="46" applyFont="1" applyFill="1" applyBorder="1" applyAlignment="1">
      <alignment horizontal="center"/>
    </xf>
    <xf numFmtId="0" fontId="33" fillId="0" borderId="0" xfId="0" applyFont="1" applyAlignment="1">
      <alignment horizontal="centerContinuous" vertical="center"/>
    </xf>
    <xf numFmtId="0" fontId="33" fillId="0" borderId="0" xfId="0" applyFont="1" applyAlignment="1">
      <alignment horizontal="center"/>
    </xf>
    <xf numFmtId="165" fontId="22" fillId="46" borderId="10" xfId="43" applyNumberFormat="1" applyFont="1" applyFill="1" applyBorder="1" applyAlignment="1">
      <alignment horizontal="center"/>
    </xf>
    <xf numFmtId="0" fontId="3" fillId="38" borderId="0" xfId="0" applyFont="1" applyFill="1" applyAlignment="1">
      <alignment horizontal="center"/>
    </xf>
    <xf numFmtId="189" fontId="0" fillId="38" borderId="0" xfId="0" applyNumberFormat="1" applyFill="1" applyAlignment="1">
      <alignment horizontal="center"/>
    </xf>
    <xf numFmtId="179" fontId="3" fillId="38" borderId="0" xfId="0" applyNumberFormat="1" applyFont="1" applyFill="1" applyAlignment="1">
      <alignment horizontal="center"/>
    </xf>
    <xf numFmtId="10" fontId="0" fillId="38" borderId="0" xfId="0" applyNumberFormat="1" applyFill="1" applyAlignment="1">
      <alignment horizontal="center"/>
    </xf>
    <xf numFmtId="179" fontId="0" fillId="38" borderId="0" xfId="0" applyNumberFormat="1" applyFill="1" applyAlignment="1">
      <alignment horizontal="center"/>
    </xf>
    <xf numFmtId="165" fontId="22" fillId="0" borderId="10" xfId="43" applyNumberFormat="1" applyFont="1" applyBorder="1" applyAlignment="1">
      <alignment horizontal="center"/>
    </xf>
    <xf numFmtId="0" fontId="22" fillId="24" borderId="0" xfId="0" applyFont="1" applyFill="1" applyAlignment="1">
      <alignment horizontal="left" wrapText="1"/>
    </xf>
    <xf numFmtId="14" fontId="28" fillId="25" borderId="10" xfId="0" applyNumberFormat="1" applyFont="1" applyFill="1" applyBorder="1" applyAlignment="1">
      <alignment horizontal="center" vertical="center" wrapText="1"/>
    </xf>
    <xf numFmtId="0" fontId="28" fillId="25" borderId="10" xfId="0" applyFont="1" applyFill="1" applyBorder="1" applyAlignment="1">
      <alignment horizontal="center" vertical="center" wrapText="1"/>
    </xf>
    <xf numFmtId="166" fontId="22" fillId="24" borderId="10" xfId="0" applyNumberFormat="1" applyFont="1" applyFill="1" applyBorder="1" applyAlignment="1">
      <alignment horizontal="center"/>
    </xf>
    <xf numFmtId="10" fontId="55" fillId="0" borderId="0" xfId="32" applyNumberFormat="1" applyFont="1" applyFill="1" applyAlignment="1">
      <alignment horizontal="center"/>
    </xf>
    <xf numFmtId="0" fontId="33" fillId="24" borderId="0" xfId="0" applyFont="1" applyFill="1" applyAlignment="1">
      <alignment horizontal="centerContinuous"/>
    </xf>
    <xf numFmtId="0" fontId="33" fillId="24" borderId="14" xfId="0" applyFont="1" applyFill="1" applyBorder="1" applyAlignment="1">
      <alignment horizontal="centerContinuous" vertical="center"/>
    </xf>
    <xf numFmtId="0" fontId="33" fillId="24" borderId="11" xfId="0" applyFont="1" applyFill="1" applyBorder="1" applyAlignment="1">
      <alignment horizontal="centerContinuous" vertical="center"/>
    </xf>
    <xf numFmtId="0" fontId="33" fillId="24" borderId="15" xfId="0" applyFont="1" applyFill="1" applyBorder="1" applyAlignment="1">
      <alignment horizontal="centerContinuous" vertical="center"/>
    </xf>
    <xf numFmtId="0" fontId="33" fillId="24" borderId="82" xfId="0" applyFont="1" applyFill="1" applyBorder="1" applyAlignment="1">
      <alignment horizontal="centerContinuous" vertical="center"/>
    </xf>
    <xf numFmtId="165" fontId="23" fillId="24" borderId="0" xfId="0" applyNumberFormat="1" applyFont="1" applyFill="1" applyAlignment="1">
      <alignment horizontal="left"/>
    </xf>
    <xf numFmtId="1" fontId="22" fillId="24" borderId="10" xfId="0" applyNumberFormat="1" applyFont="1" applyFill="1" applyBorder="1" applyAlignment="1">
      <alignment horizontal="center"/>
    </xf>
    <xf numFmtId="166" fontId="22" fillId="41" borderId="10" xfId="0" applyNumberFormat="1" applyFont="1" applyFill="1" applyBorder="1" applyAlignment="1">
      <alignment horizontal="center"/>
    </xf>
    <xf numFmtId="1" fontId="22" fillId="41" borderId="10" xfId="0" applyNumberFormat="1" applyFont="1" applyFill="1" applyBorder="1" applyAlignment="1">
      <alignment horizontal="center"/>
    </xf>
    <xf numFmtId="167" fontId="22" fillId="41" borderId="10" xfId="32" applyNumberFormat="1" applyFont="1" applyFill="1" applyBorder="1" applyAlignment="1" applyProtection="1">
      <alignment horizontal="center"/>
      <protection locked="0"/>
    </xf>
    <xf numFmtId="165" fontId="22" fillId="41" borderId="10" xfId="43" applyNumberFormat="1" applyFont="1" applyFill="1" applyBorder="1" applyAlignment="1">
      <alignment horizontal="center"/>
    </xf>
    <xf numFmtId="166" fontId="22" fillId="41" borderId="10" xfId="43" applyNumberFormat="1" applyFont="1" applyFill="1" applyBorder="1" applyAlignment="1">
      <alignment horizontal="center"/>
    </xf>
    <xf numFmtId="1" fontId="22" fillId="41" borderId="10" xfId="43" applyNumberFormat="1" applyFont="1" applyFill="1" applyBorder="1" applyAlignment="1">
      <alignment horizontal="center"/>
    </xf>
    <xf numFmtId="0" fontId="24" fillId="24" borderId="10" xfId="54" applyFont="1" applyFill="1" applyBorder="1" applyAlignment="1">
      <alignment horizontal="center"/>
    </xf>
    <xf numFmtId="166" fontId="24" fillId="24" borderId="10" xfId="54" applyNumberFormat="1" applyFont="1" applyFill="1" applyBorder="1" applyAlignment="1">
      <alignment horizontal="center"/>
    </xf>
    <xf numFmtId="7" fontId="24" fillId="24" borderId="10" xfId="54" applyNumberFormat="1" applyFont="1" applyFill="1" applyBorder="1" applyAlignment="1">
      <alignment horizontal="center"/>
    </xf>
    <xf numFmtId="10" fontId="27" fillId="24" borderId="10" xfId="54" applyNumberFormat="1" applyFont="1" applyFill="1" applyBorder="1" applyAlignment="1">
      <alignment horizontal="center"/>
    </xf>
    <xf numFmtId="165" fontId="24" fillId="24" borderId="10" xfId="54" applyNumberFormat="1" applyFont="1" applyFill="1" applyBorder="1" applyAlignment="1">
      <alignment horizontal="center"/>
    </xf>
    <xf numFmtId="168" fontId="27" fillId="24" borderId="10" xfId="54" applyNumberFormat="1" applyFont="1" applyFill="1" applyBorder="1" applyAlignment="1">
      <alignment horizontal="center"/>
    </xf>
    <xf numFmtId="167" fontId="27" fillId="24" borderId="10" xfId="54" applyNumberFormat="1" applyFont="1" applyFill="1" applyBorder="1" applyAlignment="1">
      <alignment horizontal="center"/>
    </xf>
    <xf numFmtId="178" fontId="27" fillId="24" borderId="10" xfId="54" applyNumberFormat="1" applyFont="1" applyFill="1" applyBorder="1" applyAlignment="1">
      <alignment horizontal="center"/>
    </xf>
    <xf numFmtId="193" fontId="0" fillId="0" borderId="0" xfId="0" applyNumberFormat="1"/>
    <xf numFmtId="179" fontId="0" fillId="0" borderId="0" xfId="0" applyNumberFormat="1"/>
    <xf numFmtId="182" fontId="49" fillId="0" borderId="0" xfId="0" applyNumberFormat="1" applyFont="1"/>
    <xf numFmtId="182" fontId="49" fillId="38" borderId="0" xfId="0" applyNumberFormat="1" applyFont="1" applyFill="1"/>
    <xf numFmtId="167" fontId="0" fillId="0" borderId="0" xfId="32" applyNumberFormat="1" applyFont="1"/>
    <xf numFmtId="167" fontId="0" fillId="0" borderId="0" xfId="0" applyNumberFormat="1"/>
    <xf numFmtId="167" fontId="34" fillId="24" borderId="0" xfId="44" applyNumberFormat="1" applyFont="1" applyFill="1"/>
    <xf numFmtId="167" fontId="3" fillId="24" borderId="0" xfId="44" applyNumberFormat="1" applyFill="1" applyAlignment="1">
      <alignment horizontal="center"/>
    </xf>
    <xf numFmtId="180" fontId="3" fillId="0" borderId="0" xfId="48" applyNumberFormat="1" applyFont="1" applyBorder="1"/>
    <xf numFmtId="10" fontId="3" fillId="0" borderId="0" xfId="49" applyNumberFormat="1" applyFont="1" applyBorder="1" applyAlignment="1">
      <alignment horizontal="center"/>
    </xf>
    <xf numFmtId="180" fontId="3" fillId="0" borderId="56" xfId="48" applyNumberFormat="1" applyFont="1" applyBorder="1"/>
    <xf numFmtId="180" fontId="3" fillId="0" borderId="0" xfId="48" applyNumberFormat="1" applyFont="1" applyFill="1" applyBorder="1"/>
    <xf numFmtId="10" fontId="3" fillId="0" borderId="0" xfId="49" applyNumberFormat="1" applyFont="1" applyFill="1" applyBorder="1" applyAlignment="1">
      <alignment horizontal="center"/>
    </xf>
    <xf numFmtId="180" fontId="3" fillId="0" borderId="56" xfId="48" applyNumberFormat="1" applyFont="1" applyFill="1" applyBorder="1"/>
    <xf numFmtId="181" fontId="3" fillId="0" borderId="0" xfId="50" applyNumberFormat="1" applyFont="1" applyFill="1" applyAlignment="1">
      <alignment horizontal="center"/>
    </xf>
    <xf numFmtId="181" fontId="3" fillId="0" borderId="0" xfId="50" applyNumberFormat="1" applyFont="1" applyBorder="1" applyAlignment="1">
      <alignment vertical="center"/>
    </xf>
    <xf numFmtId="181" fontId="3" fillId="0" borderId="0" xfId="50" applyNumberFormat="1" applyFont="1" applyBorder="1"/>
    <xf numFmtId="181" fontId="3" fillId="0" borderId="0" xfId="50" applyNumberFormat="1" applyFont="1" applyFill="1"/>
    <xf numFmtId="9" fontId="3" fillId="0" borderId="0" xfId="32" applyFont="1"/>
    <xf numFmtId="181" fontId="3" fillId="0" borderId="0" xfId="50" applyNumberFormat="1" applyFont="1"/>
    <xf numFmtId="9" fontId="3" fillId="0" borderId="0" xfId="49" applyFont="1"/>
    <xf numFmtId="0" fontId="1" fillId="0" borderId="0" xfId="47" applyFont="1"/>
    <xf numFmtId="0" fontId="58" fillId="0" borderId="0" xfId="47" applyFont="1"/>
    <xf numFmtId="0" fontId="1" fillId="0" borderId="55" xfId="47" applyFont="1" applyBorder="1" applyAlignment="1">
      <alignment horizontal="center" vertical="center" wrapText="1"/>
    </xf>
    <xf numFmtId="4" fontId="1" fillId="0" borderId="0" xfId="47" applyNumberFormat="1" applyFont="1" applyAlignment="1">
      <alignment horizontal="center" vertical="center" wrapText="1"/>
    </xf>
    <xf numFmtId="4" fontId="1" fillId="0" borderId="0" xfId="47" applyNumberFormat="1" applyFont="1" applyAlignment="1">
      <alignment vertical="center" wrapText="1"/>
    </xf>
    <xf numFmtId="40" fontId="1" fillId="0" borderId="56" xfId="47" applyNumberFormat="1" applyFont="1" applyBorder="1" applyAlignment="1">
      <alignment horizontal="center" vertical="center" wrapText="1"/>
    </xf>
    <xf numFmtId="0" fontId="1" fillId="0" borderId="0" xfId="47" applyFont="1" applyAlignment="1">
      <alignment horizontal="right"/>
    </xf>
    <xf numFmtId="14" fontId="1" fillId="0" borderId="55" xfId="47" applyNumberFormat="1" applyFont="1" applyBorder="1"/>
    <xf numFmtId="14" fontId="1" fillId="0" borderId="0" xfId="47" applyNumberFormat="1" applyFont="1"/>
    <xf numFmtId="0" fontId="1" fillId="0" borderId="0" xfId="47" applyFont="1" applyAlignment="1">
      <alignment horizontal="center"/>
    </xf>
    <xf numFmtId="14" fontId="1" fillId="0" borderId="0" xfId="47" applyNumberFormat="1" applyFont="1" applyAlignment="1">
      <alignment horizontal="center"/>
    </xf>
    <xf numFmtId="0" fontId="1" fillId="0" borderId="57" xfId="47" applyFont="1" applyBorder="1"/>
    <xf numFmtId="0" fontId="1" fillId="0" borderId="58" xfId="47" applyFont="1" applyBorder="1"/>
    <xf numFmtId="180" fontId="1" fillId="0" borderId="58" xfId="47" applyNumberFormat="1" applyFont="1" applyBorder="1"/>
    <xf numFmtId="0" fontId="1" fillId="0" borderId="59" xfId="47" applyFont="1" applyBorder="1"/>
    <xf numFmtId="0" fontId="1" fillId="0" borderId="55" xfId="47" applyFont="1" applyBorder="1"/>
    <xf numFmtId="180" fontId="1" fillId="0" borderId="0" xfId="47" applyNumberFormat="1" applyFont="1"/>
    <xf numFmtId="9" fontId="38" fillId="0" borderId="60" xfId="49" applyFont="1" applyBorder="1" applyAlignment="1">
      <alignment horizontal="center"/>
    </xf>
    <xf numFmtId="0" fontId="1" fillId="0" borderId="56" xfId="47" applyFont="1" applyBorder="1"/>
    <xf numFmtId="0" fontId="1" fillId="0" borderId="0" xfId="47" applyFont="1" applyAlignment="1">
      <alignment horizontal="right" vertical="center"/>
    </xf>
    <xf numFmtId="10" fontId="1" fillId="0" borderId="0" xfId="47" applyNumberFormat="1" applyFont="1"/>
    <xf numFmtId="0" fontId="1" fillId="0" borderId="61" xfId="47" applyFont="1" applyBorder="1"/>
    <xf numFmtId="0" fontId="1" fillId="0" borderId="62" xfId="47" applyFont="1" applyBorder="1"/>
    <xf numFmtId="181" fontId="1" fillId="0" borderId="62" xfId="47" applyNumberFormat="1" applyFont="1" applyBorder="1"/>
    <xf numFmtId="0" fontId="1" fillId="0" borderId="63" xfId="47" applyFont="1" applyBorder="1"/>
    <xf numFmtId="0" fontId="58" fillId="0" borderId="64" xfId="47" applyFont="1" applyBorder="1" applyAlignment="1">
      <alignment horizontal="right"/>
    </xf>
    <xf numFmtId="0" fontId="58" fillId="0" borderId="65" xfId="47" applyFont="1" applyBorder="1"/>
    <xf numFmtId="0" fontId="58" fillId="0" borderId="64" xfId="47" applyFont="1" applyBorder="1"/>
    <xf numFmtId="181" fontId="58" fillId="0" borderId="66" xfId="47" applyNumberFormat="1" applyFont="1" applyBorder="1"/>
    <xf numFmtId="0" fontId="58" fillId="0" borderId="67" xfId="47" applyFont="1" applyBorder="1"/>
    <xf numFmtId="0" fontId="1" fillId="0" borderId="68" xfId="47" applyFont="1" applyBorder="1"/>
    <xf numFmtId="0" fontId="1" fillId="0" borderId="69" xfId="47" applyFont="1" applyBorder="1"/>
    <xf numFmtId="0" fontId="1" fillId="0" borderId="70" xfId="47" applyFont="1" applyBorder="1"/>
    <xf numFmtId="181" fontId="1" fillId="0" borderId="0" xfId="47" applyNumberFormat="1" applyFont="1"/>
    <xf numFmtId="181" fontId="1" fillId="0" borderId="64" xfId="47" applyNumberFormat="1" applyFont="1" applyBorder="1"/>
    <xf numFmtId="180" fontId="58" fillId="0" borderId="58" xfId="47" applyNumberFormat="1" applyFont="1" applyBorder="1"/>
    <xf numFmtId="0" fontId="26" fillId="24" borderId="0" xfId="43" applyFont="1" applyFill="1" applyAlignment="1">
      <alignment horizontal="left" vertical="justify" wrapText="1"/>
    </xf>
    <xf numFmtId="165" fontId="24" fillId="24" borderId="14" xfId="0" applyNumberFormat="1" applyFont="1" applyFill="1" applyBorder="1" applyAlignment="1">
      <alignment horizontal="center"/>
    </xf>
    <xf numFmtId="165" fontId="24" fillId="24" borderId="15" xfId="0" applyNumberFormat="1" applyFont="1" applyFill="1" applyBorder="1" applyAlignment="1">
      <alignment horizontal="center"/>
    </xf>
    <xf numFmtId="10" fontId="27" fillId="24" borderId="14" xfId="0" applyNumberFormat="1" applyFont="1" applyFill="1" applyBorder="1" applyAlignment="1">
      <alignment horizontal="center"/>
    </xf>
    <xf numFmtId="10" fontId="27" fillId="24" borderId="15" xfId="0" applyNumberFormat="1" applyFont="1" applyFill="1" applyBorder="1" applyAlignment="1">
      <alignment horizontal="center"/>
    </xf>
    <xf numFmtId="0" fontId="24" fillId="24" borderId="14" xfId="0" applyFont="1" applyFill="1" applyBorder="1" applyAlignment="1">
      <alignment horizontal="center"/>
    </xf>
    <xf numFmtId="0" fontId="24" fillId="24" borderId="15" xfId="0" applyFont="1" applyFill="1" applyBorder="1" applyAlignment="1">
      <alignment horizontal="center"/>
    </xf>
    <xf numFmtId="0" fontId="29" fillId="25" borderId="14" xfId="43" applyFont="1" applyFill="1" applyBorder="1" applyAlignment="1">
      <alignment horizontal="center"/>
    </xf>
    <xf numFmtId="0" fontId="29" fillId="25" borderId="11" xfId="43" applyFont="1" applyFill="1" applyBorder="1" applyAlignment="1">
      <alignment horizontal="center"/>
    </xf>
    <xf numFmtId="0" fontId="29" fillId="25" borderId="15" xfId="43" applyFont="1" applyFill="1" applyBorder="1" applyAlignment="1">
      <alignment horizontal="center"/>
    </xf>
    <xf numFmtId="0" fontId="28" fillId="25" borderId="12" xfId="43" applyFont="1" applyFill="1" applyBorder="1" applyAlignment="1">
      <alignment horizontal="center" vertical="center" wrapText="1"/>
    </xf>
    <xf numFmtId="0" fontId="28" fillId="25" borderId="13" xfId="43" applyFont="1" applyFill="1" applyBorder="1" applyAlignment="1">
      <alignment horizontal="center" vertical="center" wrapText="1"/>
    </xf>
    <xf numFmtId="0" fontId="28" fillId="25" borderId="16" xfId="43" applyFont="1" applyFill="1" applyBorder="1" applyAlignment="1">
      <alignment horizontal="center" vertical="center" wrapText="1"/>
    </xf>
    <xf numFmtId="165" fontId="28" fillId="25" borderId="12" xfId="43" applyNumberFormat="1" applyFont="1" applyFill="1" applyBorder="1" applyAlignment="1">
      <alignment horizontal="center" vertical="center" wrapText="1"/>
    </xf>
    <xf numFmtId="165" fontId="28" fillId="25" borderId="13" xfId="43" applyNumberFormat="1" applyFont="1" applyFill="1" applyBorder="1" applyAlignment="1">
      <alignment horizontal="center" vertical="center" wrapText="1"/>
    </xf>
    <xf numFmtId="0" fontId="22" fillId="24" borderId="11" xfId="0" applyFont="1" applyFill="1" applyBorder="1" applyAlignment="1">
      <alignment horizontal="left"/>
    </xf>
    <xf numFmtId="0" fontId="25" fillId="24" borderId="0" xfId="43" applyFont="1" applyFill="1" applyAlignment="1">
      <alignment horizontal="left" vertical="justify" wrapText="1"/>
    </xf>
    <xf numFmtId="0" fontId="29" fillId="25" borderId="10" xfId="54" applyFont="1" applyFill="1" applyBorder="1" applyAlignment="1">
      <alignment horizontal="center"/>
    </xf>
    <xf numFmtId="0" fontId="56" fillId="0" borderId="0" xfId="51" applyFont="1" applyAlignment="1">
      <alignment horizontal="center"/>
    </xf>
    <xf numFmtId="15" fontId="58" fillId="0" borderId="52" xfId="47" applyNumberFormat="1" applyFont="1" applyBorder="1" applyAlignment="1">
      <alignment horizontal="center"/>
    </xf>
    <xf numFmtId="15" fontId="58" fillId="0" borderId="53" xfId="47" applyNumberFormat="1" applyFont="1" applyBorder="1" applyAlignment="1">
      <alignment horizontal="center"/>
    </xf>
    <xf numFmtId="15" fontId="58" fillId="0" borderId="54" xfId="47" applyNumberFormat="1" applyFont="1" applyBorder="1" applyAlignment="1">
      <alignment horizontal="center"/>
    </xf>
    <xf numFmtId="0" fontId="1" fillId="0" borderId="0" xfId="47" applyFont="1" applyAlignment="1">
      <alignment horizontal="center" wrapText="1"/>
    </xf>
    <xf numFmtId="0" fontId="1" fillId="0" borderId="56" xfId="47" applyFont="1" applyBorder="1" applyAlignment="1">
      <alignment horizontal="center" wrapText="1"/>
    </xf>
    <xf numFmtId="10" fontId="0" fillId="0" borderId="0" xfId="0" applyNumberFormat="1"/>
    <xf numFmtId="165" fontId="22" fillId="0" borderId="10" xfId="43" applyNumberFormat="1" applyFont="1" applyFill="1" applyBorder="1" applyAlignment="1">
      <alignment horizontal="center"/>
    </xf>
  </cellXfs>
  <cellStyles count="55">
    <cellStyle name="20 % - Accent1" xfId="1" xr:uid="{00000000-0005-0000-0000-000000000000}"/>
    <cellStyle name="20 % - Accent2" xfId="2" xr:uid="{00000000-0005-0000-0000-000001000000}"/>
    <cellStyle name="20 % - Accent3" xfId="3" xr:uid="{00000000-0005-0000-0000-000002000000}"/>
    <cellStyle name="20 % - Accent4" xfId="4" xr:uid="{00000000-0005-0000-0000-000003000000}"/>
    <cellStyle name="20 % - Accent5" xfId="5" xr:uid="{00000000-0005-0000-0000-000004000000}"/>
    <cellStyle name="20 % - Accent6" xfId="6" xr:uid="{00000000-0005-0000-0000-000005000000}"/>
    <cellStyle name="40 % - Accent1" xfId="7" xr:uid="{00000000-0005-0000-0000-000006000000}"/>
    <cellStyle name="40 % - Accent2" xfId="8" xr:uid="{00000000-0005-0000-0000-000007000000}"/>
    <cellStyle name="40 % - Accent3" xfId="9" xr:uid="{00000000-0005-0000-0000-000008000000}"/>
    <cellStyle name="40 % - Accent4" xfId="10" xr:uid="{00000000-0005-0000-0000-000009000000}"/>
    <cellStyle name="40 % - Accent5" xfId="11" xr:uid="{00000000-0005-0000-0000-00000A000000}"/>
    <cellStyle name="40 % - Accent6" xfId="12" xr:uid="{00000000-0005-0000-0000-00000B000000}"/>
    <cellStyle name="60 % - Accent1" xfId="13" xr:uid="{00000000-0005-0000-0000-00000C000000}"/>
    <cellStyle name="60 % - Accent2" xfId="14" xr:uid="{00000000-0005-0000-0000-00000D000000}"/>
    <cellStyle name="60 % - Accent3" xfId="15" xr:uid="{00000000-0005-0000-0000-00000E000000}"/>
    <cellStyle name="60 % - Accent4" xfId="16" xr:uid="{00000000-0005-0000-0000-00000F000000}"/>
    <cellStyle name="60 % - Accent5" xfId="17" xr:uid="{00000000-0005-0000-0000-000010000000}"/>
    <cellStyle name="60 % - Accent6" xfId="18" xr:uid="{00000000-0005-0000-0000-000011000000}"/>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xr:uid="{00000000-0005-0000-0000-000018000000}"/>
    <cellStyle name="Calcul" xfId="26" xr:uid="{00000000-0005-0000-0000-000019000000}"/>
    <cellStyle name="Cellule liée" xfId="27" xr:uid="{00000000-0005-0000-0000-00001A000000}"/>
    <cellStyle name="Comma 10 2 3" xfId="46" xr:uid="{8E7A5E3D-76AD-4EDA-A87C-30BC2096B170}"/>
    <cellStyle name="Commentaire" xfId="28" xr:uid="{00000000-0005-0000-0000-00001B000000}"/>
    <cellStyle name="Entrée" xfId="29" xr:uid="{00000000-0005-0000-0000-00001C000000}"/>
    <cellStyle name="Insatisfaisant" xfId="30" xr:uid="{00000000-0005-0000-0000-00001D000000}"/>
    <cellStyle name="Milliers 2" xfId="50" xr:uid="{8FAAEF32-5770-46C9-9619-92B52700FA7D}"/>
    <cellStyle name="Monétaire 2" xfId="48" xr:uid="{F90E0B1D-EB38-406C-AA5A-9DA24FDE80C5}"/>
    <cellStyle name="Neutre" xfId="31" xr:uid="{00000000-0005-0000-0000-00001E000000}"/>
    <cellStyle name="Normal" xfId="0" builtinId="0"/>
    <cellStyle name="Normal - Style1 2" xfId="44" xr:uid="{2DF2DE6B-311D-4E99-923B-451600FDA746}"/>
    <cellStyle name="Normal 2" xfId="43" xr:uid="{0375A0A2-EF84-40DD-A0D2-02E9D2771AA1}"/>
    <cellStyle name="Normal 3" xfId="47" xr:uid="{D8F30973-797E-4EF5-9471-C2CE71391CD4}"/>
    <cellStyle name="Normal 4" xfId="51" xr:uid="{7AEDC963-BB7A-41B6-BEC5-FA36D4C37239}"/>
    <cellStyle name="Normal 5" xfId="53" xr:uid="{6E604AAA-B7D5-4BBF-8EED-4F2351B23716}"/>
    <cellStyle name="Normal 6" xfId="54" xr:uid="{A02DE1EF-A400-456E-9FA7-06F0C60FA9F8}"/>
    <cellStyle name="Percent [0]" xfId="45" xr:uid="{9802809C-591F-4C42-A9BB-B71B8D34F37A}"/>
    <cellStyle name="Pourcentage" xfId="32" builtinId="5"/>
    <cellStyle name="Pourcentage 2" xfId="49" xr:uid="{DAAC278B-F943-4BD9-99EC-9A173C7D265B}"/>
    <cellStyle name="Pourcentage 4" xfId="52" xr:uid="{66A1EE48-7AD5-4370-B375-DC9240923462}"/>
    <cellStyle name="Satisfaisant" xfId="33" xr:uid="{00000000-0005-0000-0000-000021000000}"/>
    <cellStyle name="Sortie" xfId="34" xr:uid="{00000000-0005-0000-0000-000022000000}"/>
    <cellStyle name="Texte explicatif" xfId="35" xr:uid="{00000000-0005-0000-0000-000023000000}"/>
    <cellStyle name="Titre" xfId="36" xr:uid="{00000000-0005-0000-0000-000024000000}"/>
    <cellStyle name="Titre 1" xfId="37" xr:uid="{00000000-0005-0000-0000-000025000000}"/>
    <cellStyle name="Titre 2" xfId="38" xr:uid="{00000000-0005-0000-0000-000026000000}"/>
    <cellStyle name="Titre 3" xfId="39" xr:uid="{00000000-0005-0000-0000-000027000000}"/>
    <cellStyle name="Titre 4" xfId="40" xr:uid="{00000000-0005-0000-0000-000028000000}"/>
    <cellStyle name="Total" xfId="41" builtinId="25" customBuiltin="1"/>
    <cellStyle name="Vérification" xfId="42" xr:uid="{00000000-0005-0000-0000-00002A000000}"/>
  </cellStyles>
  <dxfs count="30">
    <dxf>
      <font>
        <b val="0"/>
        <i val="0"/>
        <strike val="0"/>
        <condense val="0"/>
        <extend val="0"/>
        <outline val="0"/>
        <shadow val="0"/>
        <u val="none"/>
        <vertAlign val="baseline"/>
        <sz val="10"/>
        <color auto="1"/>
        <name val="Arial"/>
        <family val="2"/>
        <scheme val="none"/>
      </font>
      <numFmt numFmtId="179" formatCode="_ * #,##0.00_)\ _$_ ;_ * \(#,##0.00\)\ _$_ ;_ * &quot;-&quot;??_)\ _$_ ;_ @_ "/>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9" formatCode="_ * #,##0.00_)\ _$_ ;_ * \(#,##0.00\)\ _$_ ;_ * &quot;-&quot;??_)\ _$_ ;_ @_ "/>
      <alignment horizontal="center" vertical="bottom" textRotation="0" wrapText="0" indent="0" justifyLastLine="0" shrinkToFit="0" readingOrder="0"/>
    </dxf>
    <dxf>
      <numFmt numFmtId="179" formatCode="_ * #,##0.00_)\ _$_ ;_ * \(#,##0.00\)\ _$_ ;_ * &quot;-&quot;??_)\ _$_ ;_ @_ "/>
      <alignment horizontal="center" vertical="bottom" textRotation="0" wrapText="0" indent="0" justifyLastLine="0" shrinkToFit="0" readingOrder="0"/>
    </dxf>
    <dxf>
      <numFmt numFmtId="179" formatCode="_ * #,##0.00_)\ _$_ ;_ * \(#,##0.00\)\ _$_ ;_ * &quot;-&quot;??_)\ _$_ ;_ @_ "/>
      <alignment horizontal="center" vertical="bottom" textRotation="0" wrapText="0" indent="0" justifyLastLine="0" shrinkToFit="0" readingOrder="0"/>
    </dxf>
    <dxf>
      <numFmt numFmtId="179" formatCode="_ * #,##0.00_)\ _$_ ;_ * \(#,##0.00\)\ _$_ ;_ * &quot;-&quot;??_)\ _$_ ;_ @_ "/>
      <alignment horizontal="center" vertical="bottom" textRotation="0" wrapText="0" indent="0" justifyLastLine="0" shrinkToFit="0" readingOrder="0"/>
    </dxf>
    <dxf>
      <numFmt numFmtId="179" formatCode="_ * #,##0.00_)\ _$_ ;_ * \(#,##0.00\)\ _$_ ;_ * &quot;-&quot;??_)\ _$_ ;_ @_ "/>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9" formatCode="_ * #,##0.00_)\ _$_ ;_ * \(#,##0.00\)\ _$_ ;_ * &quot;-&quot;??_)\ _$_ ;_ @_ "/>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9" formatCode="_ * #,##0.00_)\ _$_ ;_ * \(#,##0.00\)\ _$_ ;_ * &quot;-&quot;??_)\ _$_ ;_ @_ "/>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family val="2"/>
        <scheme val="none"/>
      </font>
      <fill>
        <patternFill patternType="solid">
          <fgColor indexed="64"/>
          <bgColor theme="3" tint="-0.499984740745262"/>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9" formatCode="_ * #,##0.00_)\ _$_ ;_ * \(#,##0.00\)\ _$_ ;_ * &quot;-&quot;??_)\ _$_ ;_ @_ "/>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9" formatCode="_ * #,##0.00_)\ _$_ ;_ * \(#,##0.00\)\ _$_ ;_ * &quot;-&quot;??_)\ _$_ ;_ @_ "/>
      <alignment horizontal="center" vertical="bottom" textRotation="0" wrapText="0" indent="0" justifyLastLine="0" shrinkToFit="0" readingOrder="0"/>
    </dxf>
    <dxf>
      <numFmt numFmtId="179" formatCode="_ * #,##0.00_)\ _$_ ;_ * \(#,##0.00\)\ _$_ ;_ * &quot;-&quot;??_)\ _$_ ;_ @_ "/>
      <alignment horizontal="center" vertical="bottom" textRotation="0" wrapText="0" indent="0" justifyLastLine="0" shrinkToFit="0" readingOrder="0"/>
    </dxf>
    <dxf>
      <numFmt numFmtId="179" formatCode="_ * #,##0.00_)\ _$_ ;_ * \(#,##0.00\)\ _$_ ;_ * &quot;-&quot;??_)\ _$_ ;_ @_ "/>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9" formatCode="_ * #,##0.00_)\ _$_ ;_ * \(#,##0.00\)\ _$_ ;_ * &quot;-&quot;??_)\ _$_ ;_ @_ "/>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9" formatCode="_ * #,##0.00_)\ _$_ ;_ * \(#,##0.00\)\ _$_ ;_ * &quot;-&quot;??_)\ _$_ ;_ @_ "/>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family val="2"/>
        <scheme val="none"/>
      </font>
      <fill>
        <patternFill patternType="solid">
          <fgColor indexed="64"/>
          <bgColor theme="3" tint="-0.499984740745262"/>
        </patternFill>
      </fill>
      <alignment horizontal="center" vertical="bottom" textRotation="0" wrapText="0" indent="0" justifyLastLine="0" shrinkToFit="0" readingOrder="0"/>
    </dxf>
  </dxfs>
  <tableStyles count="0" defaultTableStyle="TableStyleMedium2" defaultPivotStyle="PivotStyleLight16"/>
  <colors>
    <mruColors>
      <color rgb="FFE2ECF8"/>
      <color rgb="FFA92B21"/>
      <color rgb="FF1F9145"/>
      <color rgb="FF00B624"/>
      <color rgb="FF4A5C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oneCellAnchor>
    <xdr:from>
      <xdr:col>20</xdr:col>
      <xdr:colOff>60721</xdr:colOff>
      <xdr:row>0</xdr:row>
      <xdr:rowOff>0</xdr:rowOff>
    </xdr:from>
    <xdr:ext cx="65" cy="172227"/>
    <xdr:sp macro="" textlink="">
      <xdr:nvSpPr>
        <xdr:cNvPr id="2" name="TextBox 1">
          <a:extLst>
            <a:ext uri="{FF2B5EF4-FFF2-40B4-BE49-F238E27FC236}">
              <a16:creationId xmlns:a16="http://schemas.microsoft.com/office/drawing/2014/main" id="{963DB042-AB47-48F1-B30F-0BC40A89450F}"/>
            </a:ext>
          </a:extLst>
        </xdr:cNvPr>
        <xdr:cNvSpPr txBox="1"/>
      </xdr:nvSpPr>
      <xdr:spPr>
        <a:xfrm>
          <a:off x="13420486" y="96797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16</xdr:col>
      <xdr:colOff>60721</xdr:colOff>
      <xdr:row>0</xdr:row>
      <xdr:rowOff>0</xdr:rowOff>
    </xdr:from>
    <xdr:ext cx="65" cy="172227"/>
    <xdr:sp macro="" textlink="">
      <xdr:nvSpPr>
        <xdr:cNvPr id="2" name="TextBox 1">
          <a:extLst>
            <a:ext uri="{FF2B5EF4-FFF2-40B4-BE49-F238E27FC236}">
              <a16:creationId xmlns:a16="http://schemas.microsoft.com/office/drawing/2014/main" id="{B2113328-DE7E-4280-A943-24AC66FDAE16}"/>
            </a:ext>
          </a:extLst>
        </xdr:cNvPr>
        <xdr:cNvSpPr txBox="1"/>
      </xdr:nvSpPr>
      <xdr:spPr>
        <a:xfrm>
          <a:off x="18192511"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11</xdr:col>
      <xdr:colOff>60721</xdr:colOff>
      <xdr:row>7</xdr:row>
      <xdr:rowOff>72628</xdr:rowOff>
    </xdr:from>
    <xdr:ext cx="65" cy="172227"/>
    <xdr:sp macro="" textlink="">
      <xdr:nvSpPr>
        <xdr:cNvPr id="2" name="TextBox 1">
          <a:extLst>
            <a:ext uri="{FF2B5EF4-FFF2-40B4-BE49-F238E27FC236}">
              <a16:creationId xmlns:a16="http://schemas.microsoft.com/office/drawing/2014/main" id="{D19E69C6-33AE-4729-8021-12A07BEFD193}"/>
            </a:ext>
          </a:extLst>
        </xdr:cNvPr>
        <xdr:cNvSpPr txBox="1"/>
      </xdr:nvSpPr>
      <xdr:spPr>
        <a:xfrm>
          <a:off x="11410711" y="129182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9</xdr:col>
      <xdr:colOff>0</xdr:colOff>
      <xdr:row>2</xdr:row>
      <xdr:rowOff>0</xdr:rowOff>
    </xdr:from>
    <xdr:to>
      <xdr:col>9</xdr:col>
      <xdr:colOff>0</xdr:colOff>
      <xdr:row>2</xdr:row>
      <xdr:rowOff>114300</xdr:rowOff>
    </xdr:to>
    <xdr:pic>
      <xdr:nvPicPr>
        <xdr:cNvPr id="2" name="Picture 2" descr="im_logo">
          <a:extLst>
            <a:ext uri="{FF2B5EF4-FFF2-40B4-BE49-F238E27FC236}">
              <a16:creationId xmlns:a16="http://schemas.microsoft.com/office/drawing/2014/main" id="{AC9C666F-99CD-46D4-ADE8-92B0B060B9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25600" y="79375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47625</xdr:rowOff>
    </xdr:from>
    <xdr:to>
      <xdr:col>0</xdr:col>
      <xdr:colOff>1600200</xdr:colOff>
      <xdr:row>0</xdr:row>
      <xdr:rowOff>550545</xdr:rowOff>
    </xdr:to>
    <xdr:pic>
      <xdr:nvPicPr>
        <xdr:cNvPr id="3" name="Picture 3" descr="BNMF_3D_4C_FR">
          <a:extLst>
            <a:ext uri="{FF2B5EF4-FFF2-40B4-BE49-F238E27FC236}">
              <a16:creationId xmlns:a16="http://schemas.microsoft.com/office/drawing/2014/main" id="{DC597C65-2FFA-459D-A467-4C5E9F5E49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47625"/>
          <a:ext cx="15525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2</xdr:row>
      <xdr:rowOff>0</xdr:rowOff>
    </xdr:from>
    <xdr:to>
      <xdr:col>9</xdr:col>
      <xdr:colOff>0</xdr:colOff>
      <xdr:row>2</xdr:row>
      <xdr:rowOff>114300</xdr:rowOff>
    </xdr:to>
    <xdr:pic>
      <xdr:nvPicPr>
        <xdr:cNvPr id="4" name="Picture 2" descr="im_logo">
          <a:extLst>
            <a:ext uri="{FF2B5EF4-FFF2-40B4-BE49-F238E27FC236}">
              <a16:creationId xmlns:a16="http://schemas.microsoft.com/office/drawing/2014/main" id="{3175E269-4BC8-45B4-8B8A-D08E7F163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6350" y="79375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1767840</xdr:colOff>
      <xdr:row>0</xdr:row>
      <xdr:rowOff>514350</xdr:rowOff>
    </xdr:to>
    <xdr:pic>
      <xdr:nvPicPr>
        <xdr:cNvPr id="5" name="Picture 3">
          <a:extLst>
            <a:ext uri="{FF2B5EF4-FFF2-40B4-BE49-F238E27FC236}">
              <a16:creationId xmlns:a16="http://schemas.microsoft.com/office/drawing/2014/main" id="{092A4C64-9221-4BF3-B4CB-3C3BA530725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7621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60721</xdr:colOff>
      <xdr:row>6</xdr:row>
      <xdr:rowOff>72628</xdr:rowOff>
    </xdr:from>
    <xdr:ext cx="65" cy="172227"/>
    <xdr:sp macro="" textlink="">
      <xdr:nvSpPr>
        <xdr:cNvPr id="2" name="TextBox 1">
          <a:extLst>
            <a:ext uri="{FF2B5EF4-FFF2-40B4-BE49-F238E27FC236}">
              <a16:creationId xmlns:a16="http://schemas.microsoft.com/office/drawing/2014/main" id="{BD91E5C8-C361-4BD2-B109-193D422F2EFC}"/>
            </a:ext>
          </a:extLst>
        </xdr:cNvPr>
        <xdr:cNvSpPr txBox="1"/>
      </xdr:nvSpPr>
      <xdr:spPr>
        <a:xfrm>
          <a:off x="12229861" y="96797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16</xdr:col>
      <xdr:colOff>778566</xdr:colOff>
      <xdr:row>0</xdr:row>
      <xdr:rowOff>43318</xdr:rowOff>
    </xdr:from>
    <xdr:to>
      <xdr:col>16</xdr:col>
      <xdr:colOff>1431997</xdr:colOff>
      <xdr:row>4</xdr:row>
      <xdr:rowOff>92701</xdr:rowOff>
    </xdr:to>
    <xdr:pic>
      <xdr:nvPicPr>
        <xdr:cNvPr id="3" name="Picture 12">
          <a:extLst>
            <a:ext uri="{FF2B5EF4-FFF2-40B4-BE49-F238E27FC236}">
              <a16:creationId xmlns:a16="http://schemas.microsoft.com/office/drawing/2014/main" id="{E6E3B444-868D-45A5-BAC2-9869EFE7BFE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69626" y="45223"/>
          <a:ext cx="645811" cy="603738"/>
        </a:xfrm>
        <a:prstGeom prst="rect">
          <a:avLst/>
        </a:prstGeom>
      </xdr:spPr>
    </xdr:pic>
    <xdr:clientData/>
  </xdr:twoCellAnchor>
  <xdr:twoCellAnchor>
    <xdr:from>
      <xdr:col>23</xdr:col>
      <xdr:colOff>298174</xdr:colOff>
      <xdr:row>83</xdr:row>
      <xdr:rowOff>31226</xdr:rowOff>
    </xdr:from>
    <xdr:to>
      <xdr:col>42</xdr:col>
      <xdr:colOff>579121</xdr:colOff>
      <xdr:row>89</xdr:row>
      <xdr:rowOff>83712</xdr:rowOff>
    </xdr:to>
    <xdr:sp macro="" textlink="">
      <xdr:nvSpPr>
        <xdr:cNvPr id="4" name="Text Box 1">
          <a:extLst>
            <a:ext uri="{FF2B5EF4-FFF2-40B4-BE49-F238E27FC236}">
              <a16:creationId xmlns:a16="http://schemas.microsoft.com/office/drawing/2014/main" id="{82250459-2544-4B9C-B9DC-3913F3B17703}"/>
            </a:ext>
          </a:extLst>
        </xdr:cNvPr>
        <xdr:cNvSpPr txBox="1">
          <a:spLocks noChangeArrowheads="1"/>
        </xdr:cNvSpPr>
      </xdr:nvSpPr>
      <xdr:spPr bwMode="auto">
        <a:xfrm flipV="1">
          <a:off x="19240500" y="14716291"/>
          <a:ext cx="12241034" cy="1096095"/>
        </a:xfrm>
        <a:prstGeom prst="rect">
          <a:avLst/>
        </a:prstGeom>
        <a:solidFill>
          <a:schemeClr val="bg1"/>
        </a:solidFill>
        <a:ln>
          <a:noFill/>
        </a:ln>
      </xdr:spPr>
      <xdr:txBody>
        <a:bodyPr vertOverflow="clip" wrap="square" lIns="27432" tIns="22860" rIns="0" bIns="0" anchor="t" upright="1"/>
        <a:lstStyle/>
        <a:p>
          <a:pPr algn="l" rtl="0">
            <a:defRPr sz="1000"/>
          </a:pPr>
          <a:r>
            <a:rPr lang="en-US" sz="950" b="0" i="1" u="none" strike="noStrike" baseline="0">
              <a:solidFill>
                <a:srgbClr val="000000"/>
              </a:solidFill>
              <a:latin typeface="Arial"/>
              <a:cs typeface="Arial"/>
            </a:rPr>
            <a:t>Tout a été mis en œuvre pour que l’information présentée soit juste, mais nous n’en garantissons pas l’exactitude. L’information ci-haut est communiquée à titre indicatif. La TD ne fait aucune déclaration concernant le traitement fiscal ou comptable de ces structures. Les taux historiques ne permettent pas de prédire ou d’indiquer les taux ou rendements futurs. Vous devriez obtenir vous-même des conseils professionnels quant aux conséquences financières, fiscales et comptables de la transaction proposée.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2</xdr:row>
      <xdr:rowOff>0</xdr:rowOff>
    </xdr:from>
    <xdr:to>
      <xdr:col>5</xdr:col>
      <xdr:colOff>0</xdr:colOff>
      <xdr:row>2</xdr:row>
      <xdr:rowOff>114300</xdr:rowOff>
    </xdr:to>
    <xdr:pic>
      <xdr:nvPicPr>
        <xdr:cNvPr id="2" name="Picture 2" descr="im_logo">
          <a:extLst>
            <a:ext uri="{FF2B5EF4-FFF2-40B4-BE49-F238E27FC236}">
              <a16:creationId xmlns:a16="http://schemas.microsoft.com/office/drawing/2014/main" id="{F411307F-579A-48B5-B56C-3E6119A61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54175" y="8001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47625</xdr:rowOff>
    </xdr:from>
    <xdr:to>
      <xdr:col>0</xdr:col>
      <xdr:colOff>1600200</xdr:colOff>
      <xdr:row>0</xdr:row>
      <xdr:rowOff>554355</xdr:rowOff>
    </xdr:to>
    <xdr:pic>
      <xdr:nvPicPr>
        <xdr:cNvPr id="3" name="Picture 3" descr="BNMF_3D_4C_FR">
          <a:extLst>
            <a:ext uri="{FF2B5EF4-FFF2-40B4-BE49-F238E27FC236}">
              <a16:creationId xmlns:a16="http://schemas.microsoft.com/office/drawing/2014/main" id="{825CD350-A7D2-4829-A68F-5B1EAE8BB4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 y="49530"/>
          <a:ext cx="1550670" cy="501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xdr:row>
      <xdr:rowOff>0</xdr:rowOff>
    </xdr:from>
    <xdr:to>
      <xdr:col>5</xdr:col>
      <xdr:colOff>0</xdr:colOff>
      <xdr:row>2</xdr:row>
      <xdr:rowOff>114300</xdr:rowOff>
    </xdr:to>
    <xdr:pic>
      <xdr:nvPicPr>
        <xdr:cNvPr id="4" name="Picture 2" descr="im_logo">
          <a:extLst>
            <a:ext uri="{FF2B5EF4-FFF2-40B4-BE49-F238E27FC236}">
              <a16:creationId xmlns:a16="http://schemas.microsoft.com/office/drawing/2014/main" id="{D73255E6-C898-476A-AF06-3519788B41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54175" y="8001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1771650</xdr:colOff>
      <xdr:row>0</xdr:row>
      <xdr:rowOff>510540</xdr:rowOff>
    </xdr:to>
    <xdr:pic>
      <xdr:nvPicPr>
        <xdr:cNvPr id="5" name="Picture 3">
          <a:extLst>
            <a:ext uri="{FF2B5EF4-FFF2-40B4-BE49-F238E27FC236}">
              <a16:creationId xmlns:a16="http://schemas.microsoft.com/office/drawing/2014/main" id="{F73F8AF7-F66E-41C2-A21F-F6D50784913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76784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15</xdr:col>
      <xdr:colOff>60721</xdr:colOff>
      <xdr:row>6</xdr:row>
      <xdr:rowOff>72628</xdr:rowOff>
    </xdr:from>
    <xdr:ext cx="65" cy="172227"/>
    <xdr:sp macro="" textlink="">
      <xdr:nvSpPr>
        <xdr:cNvPr id="2" name="TextBox 1">
          <a:extLst>
            <a:ext uri="{FF2B5EF4-FFF2-40B4-BE49-F238E27FC236}">
              <a16:creationId xmlns:a16="http://schemas.microsoft.com/office/drawing/2014/main" id="{F988037B-1C8C-4667-B1E3-3448A20A8DC0}"/>
            </a:ext>
          </a:extLst>
        </xdr:cNvPr>
        <xdr:cNvSpPr txBox="1"/>
      </xdr:nvSpPr>
      <xdr:spPr>
        <a:xfrm>
          <a:off x="13420486" y="96797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16</xdr:col>
      <xdr:colOff>778566</xdr:colOff>
      <xdr:row>0</xdr:row>
      <xdr:rowOff>43318</xdr:rowOff>
    </xdr:from>
    <xdr:to>
      <xdr:col>16</xdr:col>
      <xdr:colOff>1428187</xdr:colOff>
      <xdr:row>4</xdr:row>
      <xdr:rowOff>96511</xdr:rowOff>
    </xdr:to>
    <xdr:pic>
      <xdr:nvPicPr>
        <xdr:cNvPr id="3" name="Picture 12">
          <a:extLst>
            <a:ext uri="{FF2B5EF4-FFF2-40B4-BE49-F238E27FC236}">
              <a16:creationId xmlns:a16="http://schemas.microsoft.com/office/drawing/2014/main" id="{07E49110-66B7-4206-BD00-D8E8C31B0134}"/>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60251" y="45223"/>
          <a:ext cx="645811" cy="6037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13</xdr:col>
      <xdr:colOff>496850</xdr:colOff>
      <xdr:row>105</xdr:row>
      <xdr:rowOff>17145</xdr:rowOff>
    </xdr:to>
    <xdr:pic>
      <xdr:nvPicPr>
        <xdr:cNvPr id="2" name="Image 1">
          <a:extLst>
            <a:ext uri="{FF2B5EF4-FFF2-40B4-BE49-F238E27FC236}">
              <a16:creationId xmlns:a16="http://schemas.microsoft.com/office/drawing/2014/main" id="{494DAD34-E690-4F92-B5CD-973841307094}"/>
            </a:ext>
          </a:extLst>
        </xdr:cNvPr>
        <xdr:cNvPicPr>
          <a:picLocks noChangeAspect="1"/>
        </xdr:cNvPicPr>
      </xdr:nvPicPr>
      <xdr:blipFill>
        <a:blip xmlns:r="http://schemas.openxmlformats.org/officeDocument/2006/relationships" r:embed="rId1"/>
        <a:stretch>
          <a:fillRect/>
        </a:stretch>
      </xdr:blipFill>
      <xdr:spPr>
        <a:xfrm>
          <a:off x="792480" y="10424160"/>
          <a:ext cx="9983750" cy="2731770"/>
        </a:xfrm>
        <a:prstGeom prst="rect">
          <a:avLst/>
        </a:prstGeom>
      </xdr:spPr>
    </xdr:pic>
    <xdr:clientData/>
  </xdr:twoCellAnchor>
  <xdr:twoCellAnchor editAs="oneCell">
    <xdr:from>
      <xdr:col>13</xdr:col>
      <xdr:colOff>590550</xdr:colOff>
      <xdr:row>101</xdr:row>
      <xdr:rowOff>9525</xdr:rowOff>
    </xdr:from>
    <xdr:to>
      <xdr:col>26</xdr:col>
      <xdr:colOff>607898</xdr:colOff>
      <xdr:row>116</xdr:row>
      <xdr:rowOff>20955</xdr:rowOff>
    </xdr:to>
    <xdr:pic>
      <xdr:nvPicPr>
        <xdr:cNvPr id="3" name="Image 2">
          <a:extLst>
            <a:ext uri="{FF2B5EF4-FFF2-40B4-BE49-F238E27FC236}">
              <a16:creationId xmlns:a16="http://schemas.microsoft.com/office/drawing/2014/main" id="{C490C4D8-95B8-43EB-AF6A-93EF7E7CBB4D}"/>
            </a:ext>
          </a:extLst>
        </xdr:cNvPr>
        <xdr:cNvPicPr>
          <a:picLocks noChangeAspect="1"/>
        </xdr:cNvPicPr>
      </xdr:nvPicPr>
      <xdr:blipFill>
        <a:blip xmlns:r="http://schemas.openxmlformats.org/officeDocument/2006/relationships" r:embed="rId2"/>
        <a:stretch>
          <a:fillRect/>
        </a:stretch>
      </xdr:blipFill>
      <xdr:spPr>
        <a:xfrm>
          <a:off x="10892790" y="12445365"/>
          <a:ext cx="10622483" cy="2724150"/>
        </a:xfrm>
        <a:prstGeom prst="rect">
          <a:avLst/>
        </a:prstGeom>
      </xdr:spPr>
    </xdr:pic>
    <xdr:clientData/>
  </xdr:twoCellAnchor>
  <xdr:twoCellAnchor editAs="oneCell">
    <xdr:from>
      <xdr:col>0</xdr:col>
      <xdr:colOff>533400</xdr:colOff>
      <xdr:row>106</xdr:row>
      <xdr:rowOff>102870</xdr:rowOff>
    </xdr:from>
    <xdr:to>
      <xdr:col>13</xdr:col>
      <xdr:colOff>586740</xdr:colOff>
      <xdr:row>126</xdr:row>
      <xdr:rowOff>96039</xdr:rowOff>
    </xdr:to>
    <xdr:pic>
      <xdr:nvPicPr>
        <xdr:cNvPr id="4" name="Image 3">
          <a:extLst>
            <a:ext uri="{FF2B5EF4-FFF2-40B4-BE49-F238E27FC236}">
              <a16:creationId xmlns:a16="http://schemas.microsoft.com/office/drawing/2014/main" id="{28804DFC-7E45-4AF6-99EF-C0D1A4DB7045}"/>
            </a:ext>
          </a:extLst>
        </xdr:cNvPr>
        <xdr:cNvPicPr>
          <a:picLocks noChangeAspect="1"/>
        </xdr:cNvPicPr>
      </xdr:nvPicPr>
      <xdr:blipFill>
        <a:blip xmlns:r="http://schemas.openxmlformats.org/officeDocument/2006/relationships" r:embed="rId3"/>
        <a:stretch>
          <a:fillRect/>
        </a:stretch>
      </xdr:blipFill>
      <xdr:spPr>
        <a:xfrm>
          <a:off x="533400" y="13453110"/>
          <a:ext cx="10321290" cy="3614574"/>
        </a:xfrm>
        <a:prstGeom prst="rect">
          <a:avLst/>
        </a:prstGeom>
      </xdr:spPr>
    </xdr:pic>
    <xdr:clientData/>
  </xdr:twoCellAnchor>
  <xdr:twoCellAnchor editAs="oneCell">
    <xdr:from>
      <xdr:col>0</xdr:col>
      <xdr:colOff>333375</xdr:colOff>
      <xdr:row>128</xdr:row>
      <xdr:rowOff>47624</xdr:rowOff>
    </xdr:from>
    <xdr:to>
      <xdr:col>13</xdr:col>
      <xdr:colOff>422053</xdr:colOff>
      <xdr:row>134</xdr:row>
      <xdr:rowOff>150494</xdr:rowOff>
    </xdr:to>
    <xdr:pic>
      <xdr:nvPicPr>
        <xdr:cNvPr id="5" name="Image 4">
          <a:extLst>
            <a:ext uri="{FF2B5EF4-FFF2-40B4-BE49-F238E27FC236}">
              <a16:creationId xmlns:a16="http://schemas.microsoft.com/office/drawing/2014/main" id="{4014D39C-F574-437E-9CDB-220B952E121C}"/>
            </a:ext>
          </a:extLst>
        </xdr:cNvPr>
        <xdr:cNvPicPr>
          <a:picLocks noChangeAspect="1"/>
        </xdr:cNvPicPr>
      </xdr:nvPicPr>
      <xdr:blipFill>
        <a:blip xmlns:r="http://schemas.openxmlformats.org/officeDocument/2006/relationships" r:embed="rId4"/>
        <a:stretch>
          <a:fillRect/>
        </a:stretch>
      </xdr:blipFill>
      <xdr:spPr>
        <a:xfrm>
          <a:off x="333375" y="17421224"/>
          <a:ext cx="10368058" cy="1186815"/>
        </a:xfrm>
        <a:prstGeom prst="rect">
          <a:avLst/>
        </a:prstGeom>
      </xdr:spPr>
    </xdr:pic>
    <xdr:clientData/>
  </xdr:twoCellAnchor>
  <xdr:twoCellAnchor editAs="oneCell">
    <xdr:from>
      <xdr:col>13</xdr:col>
      <xdr:colOff>531495</xdr:colOff>
      <xdr:row>90</xdr:row>
      <xdr:rowOff>167640</xdr:rowOff>
    </xdr:from>
    <xdr:to>
      <xdr:col>26</xdr:col>
      <xdr:colOff>340995</xdr:colOff>
      <xdr:row>98</xdr:row>
      <xdr:rowOff>151038</xdr:rowOff>
    </xdr:to>
    <xdr:pic>
      <xdr:nvPicPr>
        <xdr:cNvPr id="6" name="Image 5">
          <a:extLst>
            <a:ext uri="{FF2B5EF4-FFF2-40B4-BE49-F238E27FC236}">
              <a16:creationId xmlns:a16="http://schemas.microsoft.com/office/drawing/2014/main" id="{EC2F3FD8-408A-42BF-8BB9-C566F53AD083}"/>
            </a:ext>
          </a:extLst>
        </xdr:cNvPr>
        <xdr:cNvPicPr>
          <a:picLocks noChangeAspect="1"/>
        </xdr:cNvPicPr>
      </xdr:nvPicPr>
      <xdr:blipFill>
        <a:blip xmlns:r="http://schemas.openxmlformats.org/officeDocument/2006/relationships" r:embed="rId5"/>
        <a:stretch>
          <a:fillRect/>
        </a:stretch>
      </xdr:blipFill>
      <xdr:spPr>
        <a:xfrm>
          <a:off x="10833735" y="10591800"/>
          <a:ext cx="10410825" cy="1427388"/>
        </a:xfrm>
        <a:prstGeom prst="rect">
          <a:avLst/>
        </a:prstGeom>
      </xdr:spPr>
    </xdr:pic>
    <xdr:clientData/>
  </xdr:twoCellAnchor>
  <xdr:twoCellAnchor editAs="oneCell">
    <xdr:from>
      <xdr:col>14</xdr:col>
      <xdr:colOff>628650</xdr:colOff>
      <xdr:row>116</xdr:row>
      <xdr:rowOff>161925</xdr:rowOff>
    </xdr:from>
    <xdr:to>
      <xdr:col>25</xdr:col>
      <xdr:colOff>592455</xdr:colOff>
      <xdr:row>136</xdr:row>
      <xdr:rowOff>168797</xdr:rowOff>
    </xdr:to>
    <xdr:pic>
      <xdr:nvPicPr>
        <xdr:cNvPr id="7" name="Image 6">
          <a:extLst>
            <a:ext uri="{FF2B5EF4-FFF2-40B4-BE49-F238E27FC236}">
              <a16:creationId xmlns:a16="http://schemas.microsoft.com/office/drawing/2014/main" id="{B63CC47E-417B-44EB-93C1-4AEEE4CC428B}"/>
            </a:ext>
          </a:extLst>
        </xdr:cNvPr>
        <xdr:cNvPicPr>
          <a:picLocks noChangeAspect="1"/>
        </xdr:cNvPicPr>
      </xdr:nvPicPr>
      <xdr:blipFill>
        <a:blip xmlns:r="http://schemas.openxmlformats.org/officeDocument/2006/relationships" r:embed="rId6"/>
        <a:stretch>
          <a:fillRect/>
        </a:stretch>
      </xdr:blipFill>
      <xdr:spPr>
        <a:xfrm>
          <a:off x="11723370" y="15340965"/>
          <a:ext cx="8835390" cy="3632087"/>
        </a:xfrm>
        <a:prstGeom prst="rect">
          <a:avLst/>
        </a:prstGeom>
      </xdr:spPr>
    </xdr:pic>
    <xdr:clientData/>
  </xdr:twoCellAnchor>
  <xdr:twoCellAnchor editAs="oneCell">
    <xdr:from>
      <xdr:col>1</xdr:col>
      <xdr:colOff>278130</xdr:colOff>
      <xdr:row>37</xdr:row>
      <xdr:rowOff>102870</xdr:rowOff>
    </xdr:from>
    <xdr:to>
      <xdr:col>10</xdr:col>
      <xdr:colOff>650034</xdr:colOff>
      <xdr:row>49</xdr:row>
      <xdr:rowOff>112395</xdr:rowOff>
    </xdr:to>
    <xdr:pic>
      <xdr:nvPicPr>
        <xdr:cNvPr id="8" name="Image 7">
          <a:extLst>
            <a:ext uri="{FF2B5EF4-FFF2-40B4-BE49-F238E27FC236}">
              <a16:creationId xmlns:a16="http://schemas.microsoft.com/office/drawing/2014/main" id="{536AE8CA-D1CF-4C86-9953-AB3231D5DD7C}"/>
            </a:ext>
          </a:extLst>
        </xdr:cNvPr>
        <xdr:cNvPicPr>
          <a:picLocks noChangeAspect="1"/>
        </xdr:cNvPicPr>
      </xdr:nvPicPr>
      <xdr:blipFill>
        <a:blip xmlns:r="http://schemas.openxmlformats.org/officeDocument/2006/relationships" r:embed="rId7"/>
        <a:stretch>
          <a:fillRect/>
        </a:stretch>
      </xdr:blipFill>
      <xdr:spPr>
        <a:xfrm>
          <a:off x="1070610" y="834390"/>
          <a:ext cx="7483269" cy="2183130"/>
        </a:xfrm>
        <a:prstGeom prst="rect">
          <a:avLst/>
        </a:prstGeom>
      </xdr:spPr>
    </xdr:pic>
    <xdr:clientData/>
  </xdr:twoCellAnchor>
  <xdr:twoCellAnchor editAs="oneCell">
    <xdr:from>
      <xdr:col>1</xdr:col>
      <xdr:colOff>358140</xdr:colOff>
      <xdr:row>51</xdr:row>
      <xdr:rowOff>114300</xdr:rowOff>
    </xdr:from>
    <xdr:to>
      <xdr:col>10</xdr:col>
      <xdr:colOff>760095</xdr:colOff>
      <xdr:row>66</xdr:row>
      <xdr:rowOff>93565</xdr:rowOff>
    </xdr:to>
    <xdr:pic>
      <xdr:nvPicPr>
        <xdr:cNvPr id="9" name="Image 8">
          <a:extLst>
            <a:ext uri="{FF2B5EF4-FFF2-40B4-BE49-F238E27FC236}">
              <a16:creationId xmlns:a16="http://schemas.microsoft.com/office/drawing/2014/main" id="{CDF61CC4-9B5A-43AF-B78C-1C227EC9608B}"/>
            </a:ext>
          </a:extLst>
        </xdr:cNvPr>
        <xdr:cNvPicPr>
          <a:picLocks noChangeAspect="1"/>
        </xdr:cNvPicPr>
      </xdr:nvPicPr>
      <xdr:blipFill>
        <a:blip xmlns:r="http://schemas.openxmlformats.org/officeDocument/2006/relationships" r:embed="rId8"/>
        <a:stretch>
          <a:fillRect/>
        </a:stretch>
      </xdr:blipFill>
      <xdr:spPr>
        <a:xfrm>
          <a:off x="1150620" y="3406140"/>
          <a:ext cx="7513320" cy="2705320"/>
        </a:xfrm>
        <a:prstGeom prst="rect">
          <a:avLst/>
        </a:prstGeom>
      </xdr:spPr>
    </xdr:pic>
    <xdr:clientData/>
  </xdr:twoCellAnchor>
  <xdr:twoCellAnchor editAs="oneCell">
    <xdr:from>
      <xdr:col>1</xdr:col>
      <xdr:colOff>257175</xdr:colOff>
      <xdr:row>69</xdr:row>
      <xdr:rowOff>171450</xdr:rowOff>
    </xdr:from>
    <xdr:to>
      <xdr:col>12</xdr:col>
      <xdr:colOff>284164</xdr:colOff>
      <xdr:row>74</xdr:row>
      <xdr:rowOff>173355</xdr:rowOff>
    </xdr:to>
    <xdr:pic>
      <xdr:nvPicPr>
        <xdr:cNvPr id="10" name="Image 9">
          <a:extLst>
            <a:ext uri="{FF2B5EF4-FFF2-40B4-BE49-F238E27FC236}">
              <a16:creationId xmlns:a16="http://schemas.microsoft.com/office/drawing/2014/main" id="{56CFDDAA-7939-4717-987E-54158D12C2E3}"/>
            </a:ext>
          </a:extLst>
        </xdr:cNvPr>
        <xdr:cNvPicPr>
          <a:picLocks noChangeAspect="1"/>
        </xdr:cNvPicPr>
      </xdr:nvPicPr>
      <xdr:blipFill>
        <a:blip xmlns:r="http://schemas.openxmlformats.org/officeDocument/2006/relationships" r:embed="rId9"/>
        <a:stretch>
          <a:fillRect/>
        </a:stretch>
      </xdr:blipFill>
      <xdr:spPr>
        <a:xfrm>
          <a:off x="1049655" y="6755130"/>
          <a:ext cx="8725219" cy="910590"/>
        </a:xfrm>
        <a:prstGeom prst="rect">
          <a:avLst/>
        </a:prstGeom>
      </xdr:spPr>
    </xdr:pic>
    <xdr:clientData/>
  </xdr:twoCellAnchor>
  <xdr:twoCellAnchor editAs="oneCell">
    <xdr:from>
      <xdr:col>1</xdr:col>
      <xdr:colOff>325754</xdr:colOff>
      <xdr:row>68</xdr:row>
      <xdr:rowOff>50045</xdr:rowOff>
    </xdr:from>
    <xdr:to>
      <xdr:col>12</xdr:col>
      <xdr:colOff>262890</xdr:colOff>
      <xdr:row>69</xdr:row>
      <xdr:rowOff>169546</xdr:rowOff>
    </xdr:to>
    <xdr:pic>
      <xdr:nvPicPr>
        <xdr:cNvPr id="11" name="Image 10">
          <a:extLst>
            <a:ext uri="{FF2B5EF4-FFF2-40B4-BE49-F238E27FC236}">
              <a16:creationId xmlns:a16="http://schemas.microsoft.com/office/drawing/2014/main" id="{7CDE8A0D-10E5-4A63-8774-B4DDE5AAC52F}"/>
            </a:ext>
          </a:extLst>
        </xdr:cNvPr>
        <xdr:cNvPicPr>
          <a:picLocks noChangeAspect="1"/>
        </xdr:cNvPicPr>
      </xdr:nvPicPr>
      <xdr:blipFill>
        <a:blip xmlns:r="http://schemas.openxmlformats.org/officeDocument/2006/relationships" r:embed="rId10"/>
        <a:stretch>
          <a:fillRect/>
        </a:stretch>
      </xdr:blipFill>
      <xdr:spPr>
        <a:xfrm>
          <a:off x="1118234" y="6450845"/>
          <a:ext cx="8637271" cy="304286"/>
        </a:xfrm>
        <a:prstGeom prst="rect">
          <a:avLst/>
        </a:prstGeom>
      </xdr:spPr>
    </xdr:pic>
    <xdr:clientData/>
  </xdr:twoCellAnchor>
  <xdr:twoCellAnchor editAs="oneCell">
    <xdr:from>
      <xdr:col>11</xdr:col>
      <xdr:colOff>763905</xdr:colOff>
      <xdr:row>37</xdr:row>
      <xdr:rowOff>81915</xdr:rowOff>
    </xdr:from>
    <xdr:to>
      <xdr:col>22</xdr:col>
      <xdr:colOff>592225</xdr:colOff>
      <xdr:row>45</xdr:row>
      <xdr:rowOff>131445</xdr:rowOff>
    </xdr:to>
    <xdr:pic>
      <xdr:nvPicPr>
        <xdr:cNvPr id="12" name="Image 11">
          <a:extLst>
            <a:ext uri="{FF2B5EF4-FFF2-40B4-BE49-F238E27FC236}">
              <a16:creationId xmlns:a16="http://schemas.microsoft.com/office/drawing/2014/main" id="{E0082456-DBE3-428E-B6CC-8F5A381C36E5}"/>
            </a:ext>
          </a:extLst>
        </xdr:cNvPr>
        <xdr:cNvPicPr>
          <a:picLocks noChangeAspect="1"/>
        </xdr:cNvPicPr>
      </xdr:nvPicPr>
      <xdr:blipFill>
        <a:blip xmlns:r="http://schemas.openxmlformats.org/officeDocument/2006/relationships" r:embed="rId11"/>
        <a:stretch>
          <a:fillRect/>
        </a:stretch>
      </xdr:blipFill>
      <xdr:spPr>
        <a:xfrm>
          <a:off x="9481185" y="813435"/>
          <a:ext cx="8509405" cy="1495425"/>
        </a:xfrm>
        <a:prstGeom prst="rect">
          <a:avLst/>
        </a:prstGeom>
      </xdr:spPr>
    </xdr:pic>
    <xdr:clientData/>
  </xdr:twoCellAnchor>
  <xdr:twoCellAnchor editAs="oneCell">
    <xdr:from>
      <xdr:col>11</xdr:col>
      <xdr:colOff>733425</xdr:colOff>
      <xdr:row>48</xdr:row>
      <xdr:rowOff>150495</xdr:rowOff>
    </xdr:from>
    <xdr:to>
      <xdr:col>22</xdr:col>
      <xdr:colOff>552450</xdr:colOff>
      <xdr:row>62</xdr:row>
      <xdr:rowOff>130022</xdr:rowOff>
    </xdr:to>
    <xdr:pic>
      <xdr:nvPicPr>
        <xdr:cNvPr id="13" name="Image 12">
          <a:extLst>
            <a:ext uri="{FF2B5EF4-FFF2-40B4-BE49-F238E27FC236}">
              <a16:creationId xmlns:a16="http://schemas.microsoft.com/office/drawing/2014/main" id="{CA6FBE2C-BBA4-4AB6-8850-D51DC2D2CDDC}"/>
            </a:ext>
          </a:extLst>
        </xdr:cNvPr>
        <xdr:cNvPicPr>
          <a:picLocks noChangeAspect="1"/>
        </xdr:cNvPicPr>
      </xdr:nvPicPr>
      <xdr:blipFill>
        <a:blip xmlns:r="http://schemas.openxmlformats.org/officeDocument/2006/relationships" r:embed="rId12"/>
        <a:stretch>
          <a:fillRect/>
        </a:stretch>
      </xdr:blipFill>
      <xdr:spPr>
        <a:xfrm>
          <a:off x="9450705" y="2893695"/>
          <a:ext cx="8498205" cy="2503652"/>
        </a:xfrm>
        <a:prstGeom prst="rect">
          <a:avLst/>
        </a:prstGeom>
      </xdr:spPr>
    </xdr:pic>
    <xdr:clientData/>
  </xdr:twoCellAnchor>
  <xdr:twoCellAnchor editAs="oneCell">
    <xdr:from>
      <xdr:col>12</xdr:col>
      <xdr:colOff>382905</xdr:colOff>
      <xdr:row>64</xdr:row>
      <xdr:rowOff>34290</xdr:rowOff>
    </xdr:from>
    <xdr:to>
      <xdr:col>16</xdr:col>
      <xdr:colOff>720090</xdr:colOff>
      <xdr:row>79</xdr:row>
      <xdr:rowOff>79897</xdr:rowOff>
    </xdr:to>
    <xdr:pic>
      <xdr:nvPicPr>
        <xdr:cNvPr id="14" name="Image 13">
          <a:extLst>
            <a:ext uri="{FF2B5EF4-FFF2-40B4-BE49-F238E27FC236}">
              <a16:creationId xmlns:a16="http://schemas.microsoft.com/office/drawing/2014/main" id="{EFC07C64-74CE-4B04-BD6F-76BAE9892080}"/>
            </a:ext>
          </a:extLst>
        </xdr:cNvPr>
        <xdr:cNvPicPr>
          <a:picLocks noChangeAspect="1"/>
        </xdr:cNvPicPr>
      </xdr:nvPicPr>
      <xdr:blipFill>
        <a:blip xmlns:r="http://schemas.openxmlformats.org/officeDocument/2006/relationships" r:embed="rId13"/>
        <a:stretch>
          <a:fillRect/>
        </a:stretch>
      </xdr:blipFill>
      <xdr:spPr>
        <a:xfrm>
          <a:off x="9869805" y="5644515"/>
          <a:ext cx="3499485" cy="2760232"/>
        </a:xfrm>
        <a:prstGeom prst="rect">
          <a:avLst/>
        </a:prstGeom>
      </xdr:spPr>
    </xdr:pic>
    <xdr:clientData/>
  </xdr:twoCellAnchor>
  <xdr:twoCellAnchor editAs="oneCell">
    <xdr:from>
      <xdr:col>1</xdr:col>
      <xdr:colOff>742950</xdr:colOff>
      <xdr:row>5</xdr:row>
      <xdr:rowOff>19050</xdr:rowOff>
    </xdr:from>
    <xdr:to>
      <xdr:col>10</xdr:col>
      <xdr:colOff>408258</xdr:colOff>
      <xdr:row>15</xdr:row>
      <xdr:rowOff>57310</xdr:rowOff>
    </xdr:to>
    <xdr:pic>
      <xdr:nvPicPr>
        <xdr:cNvPr id="16" name="Image 15">
          <a:extLst>
            <a:ext uri="{FF2B5EF4-FFF2-40B4-BE49-F238E27FC236}">
              <a16:creationId xmlns:a16="http://schemas.microsoft.com/office/drawing/2014/main" id="{3A66E13B-DBBD-A199-EFEE-FC97F868EFCF}"/>
            </a:ext>
          </a:extLst>
        </xdr:cNvPr>
        <xdr:cNvPicPr>
          <a:picLocks noChangeAspect="1"/>
        </xdr:cNvPicPr>
      </xdr:nvPicPr>
      <xdr:blipFill>
        <a:blip xmlns:r="http://schemas.openxmlformats.org/officeDocument/2006/relationships" r:embed="rId14"/>
        <a:stretch>
          <a:fillRect/>
        </a:stretch>
      </xdr:blipFill>
      <xdr:spPr>
        <a:xfrm>
          <a:off x="1533525" y="923925"/>
          <a:ext cx="6782388" cy="1844200"/>
        </a:xfrm>
        <a:prstGeom prst="rect">
          <a:avLst/>
        </a:prstGeom>
      </xdr:spPr>
    </xdr:pic>
    <xdr:clientData/>
  </xdr:twoCellAnchor>
  <xdr:twoCellAnchor editAs="oneCell">
    <xdr:from>
      <xdr:col>2</xdr:col>
      <xdr:colOff>272415</xdr:colOff>
      <xdr:row>15</xdr:row>
      <xdr:rowOff>142875</xdr:rowOff>
    </xdr:from>
    <xdr:to>
      <xdr:col>9</xdr:col>
      <xdr:colOff>655320</xdr:colOff>
      <xdr:row>28</xdr:row>
      <xdr:rowOff>143416</xdr:rowOff>
    </xdr:to>
    <xdr:pic>
      <xdr:nvPicPr>
        <xdr:cNvPr id="17" name="Image 16">
          <a:extLst>
            <a:ext uri="{FF2B5EF4-FFF2-40B4-BE49-F238E27FC236}">
              <a16:creationId xmlns:a16="http://schemas.microsoft.com/office/drawing/2014/main" id="{BBE0FD0A-2999-FDDD-A32A-8A9EF9C47FA0}"/>
            </a:ext>
          </a:extLst>
        </xdr:cNvPr>
        <xdr:cNvPicPr>
          <a:picLocks noChangeAspect="1"/>
        </xdr:cNvPicPr>
      </xdr:nvPicPr>
      <xdr:blipFill>
        <a:blip xmlns:r="http://schemas.openxmlformats.org/officeDocument/2006/relationships" r:embed="rId15"/>
        <a:stretch>
          <a:fillRect/>
        </a:stretch>
      </xdr:blipFill>
      <xdr:spPr>
        <a:xfrm>
          <a:off x="1853565" y="2857500"/>
          <a:ext cx="5916930" cy="2353216"/>
        </a:xfrm>
        <a:prstGeom prst="rect">
          <a:avLst/>
        </a:prstGeom>
      </xdr:spPr>
    </xdr:pic>
    <xdr:clientData/>
  </xdr:twoCellAnchor>
  <xdr:twoCellAnchor editAs="oneCell">
    <xdr:from>
      <xdr:col>1</xdr:col>
      <xdr:colOff>367665</xdr:colOff>
      <xdr:row>30</xdr:row>
      <xdr:rowOff>28574</xdr:rowOff>
    </xdr:from>
    <xdr:to>
      <xdr:col>12</xdr:col>
      <xdr:colOff>108126</xdr:colOff>
      <xdr:row>34</xdr:row>
      <xdr:rowOff>171449</xdr:rowOff>
    </xdr:to>
    <xdr:pic>
      <xdr:nvPicPr>
        <xdr:cNvPr id="19" name="Image 18">
          <a:extLst>
            <a:ext uri="{FF2B5EF4-FFF2-40B4-BE49-F238E27FC236}">
              <a16:creationId xmlns:a16="http://schemas.microsoft.com/office/drawing/2014/main" id="{7E99FF86-C00F-EE6E-189C-3C7800597FFB}"/>
            </a:ext>
          </a:extLst>
        </xdr:cNvPr>
        <xdr:cNvPicPr>
          <a:picLocks noChangeAspect="1"/>
        </xdr:cNvPicPr>
      </xdr:nvPicPr>
      <xdr:blipFill>
        <a:blip xmlns:r="http://schemas.openxmlformats.org/officeDocument/2006/relationships" r:embed="rId16"/>
        <a:stretch>
          <a:fillRect/>
        </a:stretch>
      </xdr:blipFill>
      <xdr:spPr>
        <a:xfrm>
          <a:off x="1158240" y="5457824"/>
          <a:ext cx="8436786" cy="866775"/>
        </a:xfrm>
        <a:prstGeom prst="rect">
          <a:avLst/>
        </a:prstGeom>
      </xdr:spPr>
    </xdr:pic>
    <xdr:clientData/>
  </xdr:twoCellAnchor>
  <xdr:twoCellAnchor editAs="oneCell">
    <xdr:from>
      <xdr:col>1</xdr:col>
      <xdr:colOff>266701</xdr:colOff>
      <xdr:row>28</xdr:row>
      <xdr:rowOff>77870</xdr:rowOff>
    </xdr:from>
    <xdr:to>
      <xdr:col>12</xdr:col>
      <xdr:colOff>144781</xdr:colOff>
      <xdr:row>30</xdr:row>
      <xdr:rowOff>13334</xdr:rowOff>
    </xdr:to>
    <xdr:pic>
      <xdr:nvPicPr>
        <xdr:cNvPr id="20" name="Image 19">
          <a:extLst>
            <a:ext uri="{FF2B5EF4-FFF2-40B4-BE49-F238E27FC236}">
              <a16:creationId xmlns:a16="http://schemas.microsoft.com/office/drawing/2014/main" id="{03092B9F-264B-7811-664D-0ED2C876E931}"/>
            </a:ext>
          </a:extLst>
        </xdr:cNvPr>
        <xdr:cNvPicPr>
          <a:picLocks noChangeAspect="1"/>
        </xdr:cNvPicPr>
      </xdr:nvPicPr>
      <xdr:blipFill>
        <a:blip xmlns:r="http://schemas.openxmlformats.org/officeDocument/2006/relationships" r:embed="rId17"/>
        <a:stretch>
          <a:fillRect/>
        </a:stretch>
      </xdr:blipFill>
      <xdr:spPr>
        <a:xfrm>
          <a:off x="1057276" y="5145170"/>
          <a:ext cx="8574405" cy="297414"/>
        </a:xfrm>
        <a:prstGeom prst="rect">
          <a:avLst/>
        </a:prstGeom>
      </xdr:spPr>
    </xdr:pic>
    <xdr:clientData/>
  </xdr:twoCellAnchor>
  <xdr:twoCellAnchor editAs="oneCell">
    <xdr:from>
      <xdr:col>11</xdr:col>
      <xdr:colOff>587735</xdr:colOff>
      <xdr:row>3</xdr:row>
      <xdr:rowOff>80009</xdr:rowOff>
    </xdr:from>
    <xdr:to>
      <xdr:col>21</xdr:col>
      <xdr:colOff>152906</xdr:colOff>
      <xdr:row>10</xdr:row>
      <xdr:rowOff>139065</xdr:rowOff>
    </xdr:to>
    <xdr:pic>
      <xdr:nvPicPr>
        <xdr:cNvPr id="21" name="Image 20">
          <a:extLst>
            <a:ext uri="{FF2B5EF4-FFF2-40B4-BE49-F238E27FC236}">
              <a16:creationId xmlns:a16="http://schemas.microsoft.com/office/drawing/2014/main" id="{CCAEFE82-9CE7-DEBD-2D2D-4EC12C676758}"/>
            </a:ext>
          </a:extLst>
        </xdr:cNvPr>
        <xdr:cNvPicPr>
          <a:picLocks noChangeAspect="1"/>
        </xdr:cNvPicPr>
      </xdr:nvPicPr>
      <xdr:blipFill>
        <a:blip xmlns:r="http://schemas.openxmlformats.org/officeDocument/2006/relationships" r:embed="rId18"/>
        <a:stretch>
          <a:fillRect/>
        </a:stretch>
      </xdr:blipFill>
      <xdr:spPr>
        <a:xfrm>
          <a:off x="9284060" y="622934"/>
          <a:ext cx="7470921" cy="1325881"/>
        </a:xfrm>
        <a:prstGeom prst="rect">
          <a:avLst/>
        </a:prstGeom>
      </xdr:spPr>
    </xdr:pic>
    <xdr:clientData/>
  </xdr:twoCellAnchor>
  <xdr:twoCellAnchor editAs="oneCell">
    <xdr:from>
      <xdr:col>11</xdr:col>
      <xdr:colOff>621030</xdr:colOff>
      <xdr:row>11</xdr:row>
      <xdr:rowOff>57150</xdr:rowOff>
    </xdr:from>
    <xdr:to>
      <xdr:col>19</xdr:col>
      <xdr:colOff>712470</xdr:colOff>
      <xdr:row>21</xdr:row>
      <xdr:rowOff>24765</xdr:rowOff>
    </xdr:to>
    <xdr:pic>
      <xdr:nvPicPr>
        <xdr:cNvPr id="22" name="Image 21">
          <a:extLst>
            <a:ext uri="{FF2B5EF4-FFF2-40B4-BE49-F238E27FC236}">
              <a16:creationId xmlns:a16="http://schemas.microsoft.com/office/drawing/2014/main" id="{6D9BC759-4088-8301-19FD-ED4A70033A96}"/>
            </a:ext>
          </a:extLst>
        </xdr:cNvPr>
        <xdr:cNvPicPr>
          <a:picLocks noChangeAspect="1"/>
        </xdr:cNvPicPr>
      </xdr:nvPicPr>
      <xdr:blipFill>
        <a:blip xmlns:r="http://schemas.openxmlformats.org/officeDocument/2006/relationships" r:embed="rId19"/>
        <a:stretch>
          <a:fillRect/>
        </a:stretch>
      </xdr:blipFill>
      <xdr:spPr>
        <a:xfrm>
          <a:off x="9317355" y="2047875"/>
          <a:ext cx="6416040" cy="1777365"/>
        </a:xfrm>
        <a:prstGeom prst="rect">
          <a:avLst/>
        </a:prstGeom>
      </xdr:spPr>
    </xdr:pic>
    <xdr:clientData/>
  </xdr:twoCellAnchor>
  <xdr:twoCellAnchor editAs="oneCell">
    <xdr:from>
      <xdr:col>12</xdr:col>
      <xdr:colOff>554355</xdr:colOff>
      <xdr:row>21</xdr:row>
      <xdr:rowOff>104775</xdr:rowOff>
    </xdr:from>
    <xdr:to>
      <xdr:col>17</xdr:col>
      <xdr:colOff>152400</xdr:colOff>
      <xdr:row>36</xdr:row>
      <xdr:rowOff>141614</xdr:rowOff>
    </xdr:to>
    <xdr:pic>
      <xdr:nvPicPr>
        <xdr:cNvPr id="23" name="Image 22">
          <a:extLst>
            <a:ext uri="{FF2B5EF4-FFF2-40B4-BE49-F238E27FC236}">
              <a16:creationId xmlns:a16="http://schemas.microsoft.com/office/drawing/2014/main" id="{1929175E-A447-C6DA-CC41-65AAF6E8632D}"/>
            </a:ext>
          </a:extLst>
        </xdr:cNvPr>
        <xdr:cNvPicPr>
          <a:picLocks noChangeAspect="1"/>
        </xdr:cNvPicPr>
      </xdr:nvPicPr>
      <xdr:blipFill>
        <a:blip xmlns:r="http://schemas.openxmlformats.org/officeDocument/2006/relationships" r:embed="rId20"/>
        <a:stretch>
          <a:fillRect/>
        </a:stretch>
      </xdr:blipFill>
      <xdr:spPr>
        <a:xfrm>
          <a:off x="10041255" y="3905250"/>
          <a:ext cx="3550920" cy="27514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ivisionsantevaleo-my.sharepoint.com/personal/aelshokri_dsisp_ca/Documents/Documents/Banques/&#201;ch&#233;ancier%20de%20pr&#234;t%20et%20de%20swap_Sedna%20Finance_Amendement%202024%20-%20Copie.xlsx" TargetMode="External"/><Relationship Id="rId1" Type="http://schemas.openxmlformats.org/officeDocument/2006/relationships/externalLinkPath" Target="&#201;ch&#233;ancier%20de%20pr&#234;t%20et%20de%20swap_Sedna%20Finance_Amendement%202024%20-%20Copi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mmaire"/>
      <sheetName val="Dettes - CORRA"/>
      <sheetName val="Dettes - Prime et Partiel"/>
      <sheetName val="Swaps"/>
      <sheetName val="BNC-A"/>
      <sheetName val="TD-A"/>
      <sheetName val="BMO-A"/>
      <sheetName val="BNC-B"/>
      <sheetName val="TD-B"/>
      <sheetName val="BMO-B"/>
      <sheetName val="Frais"/>
      <sheetName val="CORRA"/>
      <sheetName val="Market Outlook "/>
      <sheetName val="2024-09-30"/>
    </sheetNames>
    <sheetDataSet>
      <sheetData sheetId="0"/>
      <sheetData sheetId="1"/>
      <sheetData sheetId="2"/>
      <sheetData sheetId="3"/>
      <sheetData sheetId="4"/>
      <sheetData sheetId="5"/>
      <sheetData sheetId="6"/>
      <sheetData sheetId="7"/>
      <sheetData sheetId="8">
        <row r="3">
          <cell r="E3">
            <v>2.9045299999999996E-2</v>
          </cell>
        </row>
      </sheetData>
      <sheetData sheetId="9">
        <row r="3">
          <cell r="C3">
            <v>0.03</v>
          </cell>
        </row>
      </sheetData>
      <sheetData sheetId="10"/>
      <sheetData sheetId="11"/>
      <sheetData sheetId="12"/>
      <sheetData sheetId="13"/>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8C6CF5C-1D98-4DB5-946F-46E4A762EBB5}" name="Fraisattente" displayName="Fraisattente" ref="B3:I15" totalsRowCount="1" headerRowDxfId="29" dataDxfId="28">
  <autoFilter ref="B3:I14" xr:uid="{E8C6CF5C-1D98-4DB5-946F-46E4A762EBB5}"/>
  <tableColumns count="8">
    <tableColumn id="2" xr3:uid="{E371A671-3D36-4A43-981F-60EF92947811}" name="Engagement" dataDxfId="27" totalsRowDxfId="26"/>
    <tableColumn id="8" xr3:uid="{33DABC99-7AEE-41C0-998F-5FDA28E7C26B}" name="Date de début" dataDxfId="25" totalsRowDxfId="24"/>
    <tableColumn id="7" xr3:uid="{2D4927AB-4F6F-4B97-9611-2ED820B7D20F}" name="Date de fin" dataDxfId="23" totalsRowDxfId="22"/>
    <tableColumn id="9" xr3:uid="{021AD893-64B3-4FFB-B3E1-E363CA4D7C32}" name="Jours" dataDxfId="21" totalsRowDxfId="20">
      <calculatedColumnFormula>Fraisattente[[#This Row],[Date de fin]]-Fraisattente[[#This Row],[Date de début]]+1</calculatedColumnFormula>
    </tableColumn>
    <tableColumn id="3" xr3:uid="{5D11CDA6-C465-44DD-B6DA-0BF78CD246A2}" name="Valeur nominale" dataDxfId="19" totalsRowDxfId="18"/>
    <tableColumn id="4" xr3:uid="{9939CBF8-9971-427F-BDD8-6086000ECE65}" name="Taux" dataDxfId="17" totalsRowDxfId="16"/>
    <tableColumn id="5" xr3:uid="{2E7A4507-CC00-4630-9931-9BE2C3376D35}" name="Frais " totalsRowFunction="sum" dataDxfId="15" totalsRowDxfId="14">
      <calculatedColumnFormula>(F4*G4)*(Fraisattente[[#This Row],[Jours]]/365)</calculatedColumnFormula>
    </tableColumn>
    <tableColumn id="6" xr3:uid="{CAA79F66-97F1-4F1D-97EE-15BEDEAF8C4D}" name="Date de paiement" dataDxfId="13" totalsRowDxfId="12"/>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DC9C73-8FEB-48BF-8857-0BF1F2B624A5}" name="Fraisattente24" displayName="Fraisattente24" ref="K3:O6" totalsRowCount="1" headerRowDxfId="11" dataDxfId="10">
  <autoFilter ref="K3:O5" xr:uid="{54DC9C73-8FEB-48BF-8857-0BF1F2B624A5}"/>
  <tableColumns count="5">
    <tableColumn id="2" xr3:uid="{E266C006-8BD5-4666-940D-824BC3CC792D}" name="Engagement" dataDxfId="9" totalsRowDxfId="8"/>
    <tableColumn id="3" xr3:uid="{BFA41C52-CC60-4942-B739-08A9A178FB53}" name="Valeur nominale" dataDxfId="7" totalsRowDxfId="6"/>
    <tableColumn id="5" xr3:uid="{E8D1C549-9F43-4740-8A89-149368DBC4F3}" name="Frais " totalsRowFunction="sum" dataDxfId="5" totalsRowDxfId="4"/>
    <tableColumn id="1" xr3:uid="{2FE7F8B2-590B-4024-BBF9-65B80751FEEC}" name="Description" dataDxfId="3" totalsRowDxfId="2"/>
    <tableColumn id="6" xr3:uid="{C39B0D35-6B28-4D33-B94B-54B949C8DCC9}" name="Date de paiement" dataDxfId="1" totalsRowDxfId="0"/>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1FC0D-6D9E-4E31-9D52-98CAF2241C3C}">
  <dimension ref="B1:AE56"/>
  <sheetViews>
    <sheetView showGridLines="0" tabSelected="1" view="pageBreakPreview" zoomScale="90" zoomScaleNormal="90" zoomScaleSheetLayoutView="90" workbookViewId="0">
      <pane xSplit="3" ySplit="8" topLeftCell="D9" activePane="bottomRight" state="frozen"/>
      <selection pane="topRight" activeCell="D1" sqref="D1"/>
      <selection pane="bottomLeft" activeCell="A9" sqref="A9"/>
      <selection pane="bottomRight" activeCell="AD11" sqref="AD11"/>
    </sheetView>
  </sheetViews>
  <sheetFormatPr baseColWidth="10" defaultRowHeight="13.2" outlineLevelRow="1" outlineLevelCol="1" x14ac:dyDescent="0.25"/>
  <cols>
    <col min="1" max="1" width="5" customWidth="1"/>
    <col min="2" max="2" width="15.88671875" customWidth="1"/>
    <col min="5" max="8" width="16.109375" customWidth="1"/>
    <col min="9" max="9" width="17.21875" customWidth="1"/>
    <col min="10" max="11" width="16.109375" customWidth="1"/>
    <col min="12" max="27" width="16.109375" hidden="1" customWidth="1" outlineLevel="1"/>
    <col min="28" max="28" width="5.44140625" customWidth="1" collapsed="1"/>
    <col min="29" max="29" width="13.77734375" bestFit="1" customWidth="1"/>
    <col min="30" max="30" width="13.109375" bestFit="1" customWidth="1"/>
  </cols>
  <sheetData>
    <row r="1" spans="2:31" ht="11.4" customHeight="1" x14ac:dyDescent="0.25"/>
    <row r="3" spans="2:31" ht="17.399999999999999" x14ac:dyDescent="0.3">
      <c r="B3" s="128" t="s">
        <v>92</v>
      </c>
      <c r="C3" s="126"/>
      <c r="D3" s="126"/>
      <c r="E3" s="126"/>
      <c r="F3" s="127"/>
      <c r="G3" s="126"/>
      <c r="H3" s="126"/>
      <c r="I3" s="126"/>
      <c r="J3" s="126"/>
      <c r="K3" s="127"/>
      <c r="L3" s="127"/>
      <c r="M3" s="127"/>
      <c r="N3" s="127"/>
      <c r="O3" s="127"/>
      <c r="P3" s="127"/>
      <c r="Q3" s="127"/>
      <c r="R3" s="127"/>
      <c r="S3" s="127"/>
      <c r="T3" s="127"/>
      <c r="U3" s="127"/>
      <c r="V3" s="127"/>
      <c r="W3" s="127"/>
      <c r="X3" s="127"/>
      <c r="Y3" s="127"/>
      <c r="Z3" s="127"/>
      <c r="AA3" s="127"/>
      <c r="AB3" s="135"/>
      <c r="AC3" s="135"/>
    </row>
    <row r="4" spans="2:31" ht="16.2" x14ac:dyDescent="0.3">
      <c r="B4" s="141" t="s">
        <v>105</v>
      </c>
      <c r="C4" s="126"/>
      <c r="D4" s="126"/>
      <c r="E4" s="126"/>
      <c r="F4" s="127"/>
      <c r="G4" s="126"/>
      <c r="H4" s="126"/>
      <c r="I4" s="126"/>
      <c r="J4" s="126"/>
      <c r="K4" s="127"/>
      <c r="L4" s="127"/>
      <c r="M4" s="127"/>
      <c r="N4" s="127"/>
      <c r="O4" s="127"/>
      <c r="P4" s="127"/>
      <c r="Q4" s="127"/>
      <c r="R4" s="127"/>
      <c r="S4" s="127"/>
      <c r="T4" s="127"/>
      <c r="U4" s="127"/>
      <c r="V4" s="127"/>
      <c r="W4" s="127"/>
      <c r="X4" s="127"/>
      <c r="Y4" s="127"/>
      <c r="Z4" s="127"/>
      <c r="AA4" s="127"/>
      <c r="AB4" s="135"/>
      <c r="AC4" s="135"/>
    </row>
    <row r="5" spans="2:31" ht="13.8" x14ac:dyDescent="0.25">
      <c r="B5" s="127" t="s">
        <v>93</v>
      </c>
      <c r="C5" s="126"/>
      <c r="D5" s="126"/>
      <c r="E5" s="126"/>
      <c r="F5" s="127"/>
      <c r="G5" s="126"/>
      <c r="H5" s="126"/>
      <c r="I5" s="126"/>
      <c r="J5" s="126"/>
      <c r="K5" s="127"/>
      <c r="L5" s="127"/>
      <c r="M5" s="127"/>
      <c r="N5" s="127"/>
      <c r="O5" s="127"/>
      <c r="P5" s="127"/>
      <c r="Q5" s="127"/>
      <c r="R5" s="127"/>
      <c r="S5" s="127"/>
      <c r="T5" s="127"/>
      <c r="U5" s="127"/>
      <c r="V5" s="127"/>
      <c r="W5" s="127"/>
      <c r="X5" s="127"/>
      <c r="Y5" s="127"/>
      <c r="Z5" s="127"/>
      <c r="AA5" s="127"/>
      <c r="AB5" s="135"/>
      <c r="AC5" s="135"/>
    </row>
    <row r="6" spans="2:31" ht="13.8" x14ac:dyDescent="0.25">
      <c r="B6" s="127" t="s">
        <v>134</v>
      </c>
      <c r="C6" s="126"/>
      <c r="D6" s="126"/>
      <c r="E6" s="126"/>
      <c r="F6" s="127"/>
      <c r="G6" s="126"/>
      <c r="H6" s="126"/>
      <c r="I6" s="126"/>
      <c r="J6" s="126"/>
      <c r="K6" s="127"/>
      <c r="L6" s="127"/>
      <c r="M6" s="127"/>
      <c r="N6" s="127"/>
      <c r="O6" s="127"/>
      <c r="P6" s="127"/>
      <c r="Q6" s="127"/>
      <c r="R6" s="127"/>
      <c r="S6" s="127"/>
      <c r="T6" s="127"/>
      <c r="U6" s="127"/>
      <c r="V6" s="127"/>
      <c r="W6" s="127"/>
      <c r="X6" s="127"/>
      <c r="Y6" s="127"/>
      <c r="Z6" s="127"/>
      <c r="AA6" s="127"/>
      <c r="AB6" s="135"/>
      <c r="AC6" s="135"/>
    </row>
    <row r="7" spans="2:31" ht="13.8" x14ac:dyDescent="0.25">
      <c r="B7" s="126"/>
      <c r="C7" s="129"/>
      <c r="D7" s="129"/>
      <c r="E7" s="129"/>
      <c r="F7" s="129"/>
      <c r="G7" s="129"/>
      <c r="H7" s="129"/>
      <c r="I7" s="129"/>
      <c r="J7" s="129"/>
      <c r="K7" s="129"/>
      <c r="L7" s="269" t="s">
        <v>107</v>
      </c>
      <c r="M7" s="269"/>
      <c r="N7" s="269"/>
      <c r="O7" s="269"/>
      <c r="P7" s="269"/>
      <c r="Q7" s="269"/>
      <c r="R7" s="269"/>
      <c r="S7" s="269"/>
      <c r="T7" s="269"/>
      <c r="U7" s="269"/>
      <c r="V7" s="269"/>
      <c r="W7" s="269"/>
      <c r="X7" s="269"/>
      <c r="Y7" s="269"/>
      <c r="Z7" s="269"/>
      <c r="AA7" s="269" t="s">
        <v>247</v>
      </c>
      <c r="AB7" s="135"/>
      <c r="AC7" s="135"/>
    </row>
    <row r="8" spans="2:31" ht="15" x14ac:dyDescent="0.25">
      <c r="B8" s="130"/>
      <c r="C8" s="129"/>
      <c r="D8" s="129"/>
      <c r="E8" s="132">
        <v>45534</v>
      </c>
      <c r="F8" s="132">
        <v>45561</v>
      </c>
      <c r="G8" s="132">
        <v>45593</v>
      </c>
      <c r="H8" s="132">
        <v>45622</v>
      </c>
      <c r="I8" s="132">
        <v>45653</v>
      </c>
      <c r="J8" s="131" t="s">
        <v>103</v>
      </c>
      <c r="K8" s="132">
        <v>45684</v>
      </c>
      <c r="L8" s="132">
        <v>45714</v>
      </c>
      <c r="M8" s="132">
        <v>45742</v>
      </c>
      <c r="N8" s="132" t="s">
        <v>244</v>
      </c>
      <c r="O8" s="132">
        <v>45775</v>
      </c>
      <c r="P8" s="132">
        <v>45803</v>
      </c>
      <c r="Q8" s="132">
        <v>45834</v>
      </c>
      <c r="R8" s="132" t="s">
        <v>248</v>
      </c>
      <c r="S8" s="132">
        <v>45866</v>
      </c>
      <c r="T8" s="132">
        <v>45895</v>
      </c>
      <c r="U8" s="132">
        <v>45926</v>
      </c>
      <c r="V8" s="132" t="s">
        <v>258</v>
      </c>
      <c r="W8" s="132">
        <v>45957</v>
      </c>
      <c r="X8" s="132">
        <v>45987</v>
      </c>
      <c r="Y8" s="132">
        <v>46020</v>
      </c>
      <c r="Z8" s="132" t="s">
        <v>259</v>
      </c>
      <c r="AA8" s="132">
        <v>46020</v>
      </c>
      <c r="AB8" s="136"/>
      <c r="AC8" s="136"/>
    </row>
    <row r="9" spans="2:31" ht="13.8" x14ac:dyDescent="0.25">
      <c r="B9" s="133"/>
      <c r="C9" s="125"/>
      <c r="D9" s="125"/>
      <c r="E9" s="137"/>
      <c r="F9" s="137"/>
      <c r="G9" s="137"/>
      <c r="H9" s="137"/>
      <c r="I9" s="137"/>
      <c r="J9" s="140"/>
      <c r="K9" s="137"/>
      <c r="L9" s="259"/>
      <c r="M9" s="259"/>
      <c r="N9" s="140"/>
      <c r="O9" s="259"/>
      <c r="P9" s="259"/>
      <c r="Q9" s="259"/>
      <c r="R9" s="140"/>
      <c r="S9" s="259"/>
      <c r="T9" s="259"/>
      <c r="U9" s="259"/>
      <c r="V9" s="140"/>
      <c r="W9" s="259"/>
      <c r="X9" s="259"/>
      <c r="Y9" s="259"/>
      <c r="Z9" s="140"/>
      <c r="AA9" s="259"/>
      <c r="AB9" s="137"/>
      <c r="AC9" s="137"/>
    </row>
    <row r="10" spans="2:31" ht="24" customHeight="1" x14ac:dyDescent="0.25">
      <c r="B10" s="142" t="s">
        <v>94</v>
      </c>
      <c r="C10" s="143"/>
      <c r="D10" s="143"/>
      <c r="E10" s="144">
        <f>SUM(E11:E13)</f>
        <v>130876844.3</v>
      </c>
      <c r="F10" s="144">
        <f t="shared" ref="F10:I10" si="0">SUM(F11:F13)</f>
        <v>130729562.12</v>
      </c>
      <c r="G10" s="144">
        <f t="shared" si="0"/>
        <v>130587896.05000001</v>
      </c>
      <c r="H10" s="144">
        <f t="shared" si="0"/>
        <v>144826935.91000003</v>
      </c>
      <c r="I10" s="144">
        <f t="shared" si="0"/>
        <v>139677752.05000001</v>
      </c>
      <c r="J10" s="140">
        <f>I10</f>
        <v>139677752.05000001</v>
      </c>
      <c r="K10" s="144">
        <f>SUM(K11:K13)</f>
        <v>139517222.38</v>
      </c>
      <c r="L10" s="260">
        <f t="shared" ref="L10" si="1">SUM(L11:L13)</f>
        <v>139341675.59</v>
      </c>
      <c r="M10" s="260">
        <f>SUM(M11:M13)</f>
        <v>139151399.38</v>
      </c>
      <c r="N10" s="140">
        <f>M10</f>
        <v>139151399.38</v>
      </c>
      <c r="O10" s="260">
        <f>SUM(O11:O13)</f>
        <v>138993274.72</v>
      </c>
      <c r="P10" s="260">
        <f t="shared" ref="P10:Q10" si="2">SUM(P11:P13)</f>
        <v>138803599.56</v>
      </c>
      <c r="Q10" s="260">
        <f t="shared" si="2"/>
        <v>138632029.60000002</v>
      </c>
      <c r="R10" s="140">
        <f>Q10</f>
        <v>138632029.60000002</v>
      </c>
      <c r="S10" s="260">
        <f>SUM(S11:S13)</f>
        <v>138466681.40000001</v>
      </c>
      <c r="T10" s="260">
        <f t="shared" ref="T10:U10" si="3">SUM(T11:T13)</f>
        <v>138279808.03</v>
      </c>
      <c r="U10" s="260">
        <f t="shared" si="3"/>
        <v>138106014.96000001</v>
      </c>
      <c r="V10" s="140">
        <f>U10</f>
        <v>138106014.96000001</v>
      </c>
      <c r="W10" s="260">
        <f>SUM(W11:W13)</f>
        <v>137931483.06999999</v>
      </c>
      <c r="X10" s="260">
        <f t="shared" ref="X10" si="4">SUM(X11:X13)</f>
        <v>137749312.09</v>
      </c>
      <c r="Y10" s="260">
        <f>SUM(Y11:Y13)</f>
        <v>137587040.78</v>
      </c>
      <c r="Z10" s="140">
        <f>Y10</f>
        <v>137587040.78</v>
      </c>
      <c r="AA10" s="260">
        <f>SUM(AA11:AA13)</f>
        <v>137587040.78</v>
      </c>
      <c r="AB10" s="137"/>
      <c r="AC10" s="137"/>
      <c r="AD10" s="314"/>
    </row>
    <row r="11" spans="2:31" ht="21" customHeight="1" outlineLevel="1" x14ac:dyDescent="0.25">
      <c r="B11" s="134" t="s">
        <v>85</v>
      </c>
      <c r="C11" s="125"/>
      <c r="D11" s="125"/>
      <c r="E11" s="137">
        <f>'Dettes - CORRA'!$G7</f>
        <v>89876844.299999997</v>
      </c>
      <c r="F11" s="137">
        <f>'Dettes - CORRA'!$G8</f>
        <v>89729562.120000005</v>
      </c>
      <c r="G11" s="137">
        <f>'Dettes - CORRA'!$G9</f>
        <v>89587896.050000012</v>
      </c>
      <c r="H11" s="137">
        <f>'Dettes - CORRA'!$G10</f>
        <v>89426935.910000011</v>
      </c>
      <c r="I11" s="137">
        <f>'Dettes - CORRA'!$G11</f>
        <v>89277752.050000012</v>
      </c>
      <c r="J11" s="140">
        <f>I11</f>
        <v>89277752.050000012</v>
      </c>
      <c r="K11" s="137">
        <f>'Dettes - CORRA'!$G12</f>
        <v>89127937.120000005</v>
      </c>
      <c r="L11" s="259">
        <f>'Dettes - CORRA'!$G13</f>
        <v>88971291.640000001</v>
      </c>
      <c r="M11" s="259">
        <f>'Dettes - CORRA'!$G14</f>
        <v>88801624.469999999</v>
      </c>
      <c r="N11" s="140">
        <f>M11</f>
        <v>88801624.469999999</v>
      </c>
      <c r="O11" s="259">
        <f>'Dettes - CORRA'!$G15</f>
        <v>88660140.120000005</v>
      </c>
      <c r="P11" s="259">
        <f>'Dettes - CORRA'!$G16</f>
        <v>88491228.430000007</v>
      </c>
      <c r="Q11" s="259">
        <f>'Dettes - CORRA'!$G17</f>
        <v>88338085.400000006</v>
      </c>
      <c r="R11" s="140">
        <f>Q11</f>
        <v>88338085.400000006</v>
      </c>
      <c r="S11" s="259">
        <f>'Dettes - CORRA'!$G18</f>
        <v>88190436.700000003</v>
      </c>
      <c r="T11" s="259">
        <f>'Dettes - CORRA'!$G19</f>
        <v>88023759.5</v>
      </c>
      <c r="U11" s="259">
        <f>'Dettes - CORRA'!$G20</f>
        <v>87868640.170000002</v>
      </c>
      <c r="V11" s="140">
        <f>U11</f>
        <v>87868640.170000002</v>
      </c>
      <c r="W11" s="259">
        <f>'Dettes - CORRA'!$G21</f>
        <v>87712864.260000005</v>
      </c>
      <c r="X11" s="259">
        <f>'Dettes - CORRA'!$G22</f>
        <v>87550332.390000001</v>
      </c>
      <c r="Y11" s="259">
        <f>'Dettes - CORRA'!$G23</f>
        <v>87405384.390000001</v>
      </c>
      <c r="Z11" s="140">
        <f>Y11</f>
        <v>87405384.390000001</v>
      </c>
      <c r="AA11" s="259">
        <f>'Dettes - CORRA'!G23</f>
        <v>87405384.390000001</v>
      </c>
      <c r="AB11" s="137"/>
      <c r="AC11" s="137"/>
    </row>
    <row r="12" spans="2:31" ht="21" customHeight="1" outlineLevel="1" x14ac:dyDescent="0.25">
      <c r="B12" s="134" t="s">
        <v>101</v>
      </c>
      <c r="C12" s="125"/>
      <c r="D12" s="125"/>
      <c r="E12" s="137">
        <v>0</v>
      </c>
      <c r="F12" s="137">
        <v>0</v>
      </c>
      <c r="G12" s="137">
        <v>0</v>
      </c>
      <c r="H12" s="137">
        <f>'Dettes - CORRA'!L10</f>
        <v>11400000</v>
      </c>
      <c r="I12" s="137">
        <f>'Dettes - CORRA'!L11</f>
        <v>11400000</v>
      </c>
      <c r="J12" s="140">
        <f>I12</f>
        <v>11400000</v>
      </c>
      <c r="K12" s="137">
        <f>'Dettes - CORRA'!$L12</f>
        <v>11389285.26</v>
      </c>
      <c r="L12" s="259">
        <f>'Dettes - CORRA'!$L13</f>
        <v>11370383.949999999</v>
      </c>
      <c r="M12" s="259">
        <f>'Dettes - CORRA'!$L14</f>
        <v>11349774.91</v>
      </c>
      <c r="N12" s="140">
        <f>M12</f>
        <v>11349774.91</v>
      </c>
      <c r="O12" s="259">
        <f>'Dettes - CORRA'!$L15</f>
        <v>11333134.6</v>
      </c>
      <c r="P12" s="259">
        <f>'Dettes - CORRA'!$L16</f>
        <v>11312371.129999999</v>
      </c>
      <c r="Q12" s="259">
        <f>'Dettes - CORRA'!$L17</f>
        <v>11293944.199999999</v>
      </c>
      <c r="R12" s="140">
        <f>Q12</f>
        <v>11293944.199999999</v>
      </c>
      <c r="S12" s="259">
        <f>'Dettes - CORRA'!$L18</f>
        <v>11276244.699999999</v>
      </c>
      <c r="T12" s="259">
        <f>'Dettes - CORRA'!$L19</f>
        <v>11256048.529999999</v>
      </c>
      <c r="U12" s="259">
        <f>'Dettes - CORRA'!$L20</f>
        <v>11237374.789999999</v>
      </c>
      <c r="V12" s="140">
        <f>U12</f>
        <v>11237374.789999999</v>
      </c>
      <c r="W12" s="259">
        <f>'Dettes - CORRA'!$L21</f>
        <v>11218618.809999999</v>
      </c>
      <c r="X12" s="259">
        <f>'Dettes - CORRA'!$L22</f>
        <v>11198979.699999999</v>
      </c>
      <c r="Y12" s="259">
        <f>'Dettes - CORRA'!$L23</f>
        <v>11181656.389999999</v>
      </c>
      <c r="Z12" s="140">
        <f>Y12</f>
        <v>11181656.389999999</v>
      </c>
      <c r="AA12" s="259">
        <f>'Dettes - CORRA'!L23</f>
        <v>11181656.389999999</v>
      </c>
      <c r="AB12" s="137"/>
      <c r="AC12" s="137"/>
    </row>
    <row r="13" spans="2:31" ht="21" customHeight="1" outlineLevel="1" x14ac:dyDescent="0.25">
      <c r="B13" s="134" t="s">
        <v>102</v>
      </c>
      <c r="C13" s="125"/>
      <c r="D13" s="125"/>
      <c r="E13" s="137">
        <f>'Dettes - CORRA'!$Q7</f>
        <v>41000000</v>
      </c>
      <c r="F13" s="137">
        <f>'Dettes - CORRA'!$Q8</f>
        <v>41000000</v>
      </c>
      <c r="G13" s="137">
        <f>'Dettes - CORRA'!$Q9</f>
        <v>41000000</v>
      </c>
      <c r="H13" s="137">
        <f>'Dettes - CORRA'!$Q10+'Dettes - Prime et Partiel'!M7</f>
        <v>44000000</v>
      </c>
      <c r="I13" s="137">
        <f>'Dettes - CORRA'!$Q11</f>
        <v>39000000</v>
      </c>
      <c r="J13" s="140">
        <f>I13</f>
        <v>39000000</v>
      </c>
      <c r="K13" s="137">
        <f>'Dettes - CORRA'!$Q12</f>
        <v>39000000</v>
      </c>
      <c r="L13" s="259">
        <f>'Dettes - CORRA'!$Q13</f>
        <v>39000000</v>
      </c>
      <c r="M13" s="259">
        <f>'Dettes - CORRA'!$Q14</f>
        <v>39000000</v>
      </c>
      <c r="N13" s="140">
        <f>M13</f>
        <v>39000000</v>
      </c>
      <c r="O13" s="259">
        <f>'Dettes - CORRA'!$Q15</f>
        <v>39000000</v>
      </c>
      <c r="P13" s="259">
        <f>'Dettes - CORRA'!$Q16</f>
        <v>39000000</v>
      </c>
      <c r="Q13" s="259">
        <f>'Dettes - CORRA'!$Q17</f>
        <v>39000000</v>
      </c>
      <c r="R13" s="140">
        <f>Q13</f>
        <v>39000000</v>
      </c>
      <c r="S13" s="259">
        <f>'Dettes - CORRA'!$Q18</f>
        <v>39000000</v>
      </c>
      <c r="T13" s="259">
        <f>'Dettes - CORRA'!$Q19</f>
        <v>39000000</v>
      </c>
      <c r="U13" s="259">
        <f>'Dettes - CORRA'!$Q20</f>
        <v>39000000</v>
      </c>
      <c r="V13" s="140">
        <f>U13</f>
        <v>39000000</v>
      </c>
      <c r="W13" s="259">
        <f>'Dettes - CORRA'!$Q21</f>
        <v>39000000</v>
      </c>
      <c r="X13" s="259">
        <f>'Dettes - CORRA'!$Q22</f>
        <v>39000000</v>
      </c>
      <c r="Y13" s="259">
        <f>'Dettes - CORRA'!$Q23</f>
        <v>39000000</v>
      </c>
      <c r="Z13" s="140">
        <f>Y13</f>
        <v>39000000</v>
      </c>
      <c r="AA13" s="259">
        <f>'Dettes - CORRA'!Q23</f>
        <v>39000000</v>
      </c>
      <c r="AB13" s="137"/>
      <c r="AC13" s="137"/>
    </row>
    <row r="14" spans="2:31" ht="21" customHeight="1" x14ac:dyDescent="0.25">
      <c r="B14" s="142" t="s">
        <v>104</v>
      </c>
      <c r="C14" s="143"/>
      <c r="D14" s="143"/>
      <c r="E14" s="144">
        <f>SUM(E15:E17)</f>
        <v>2368282.7871232908</v>
      </c>
      <c r="F14" s="144">
        <f t="shared" ref="F14:H14" si="5">SUM(F15:F17)</f>
        <v>796777.34175764816</v>
      </c>
      <c r="G14" s="144">
        <f t="shared" si="5"/>
        <v>898378.43129437487</v>
      </c>
      <c r="H14" s="144">
        <f t="shared" si="5"/>
        <v>801628.35099243606</v>
      </c>
      <c r="I14" s="144">
        <f>SUM(I15:I17)</f>
        <v>5891689.332747044</v>
      </c>
      <c r="J14" s="140">
        <f>SUM(G14:I14)</f>
        <v>7591696.1150338547</v>
      </c>
      <c r="K14" s="144">
        <f>SUM(K15:K17)</f>
        <v>825104.2650385123</v>
      </c>
      <c r="L14" s="260">
        <f t="shared" ref="L14:M14" si="6">SUM(L15:L17)</f>
        <v>791308.43106458662</v>
      </c>
      <c r="M14" s="260">
        <f t="shared" si="6"/>
        <v>749115.98636548989</v>
      </c>
      <c r="N14" s="140">
        <f>SUM(K14:M14)</f>
        <v>2365528.6824685885</v>
      </c>
      <c r="O14" s="260">
        <f>SUM(O15:O17)</f>
        <v>788716.62797096837</v>
      </c>
      <c r="P14" s="260">
        <f t="shared" ref="P14:Q14" si="7">SUM(P15:P17)</f>
        <v>707138.42992217862</v>
      </c>
      <c r="Q14" s="260">
        <f t="shared" si="7"/>
        <v>722790.59677823074</v>
      </c>
      <c r="R14" s="140">
        <f>SUM(O14:Q14)</f>
        <v>2218645.6546713775</v>
      </c>
      <c r="S14" s="260">
        <f>SUM(S15:S17)</f>
        <v>724829.3594411707</v>
      </c>
      <c r="T14" s="260">
        <f t="shared" ref="T14:U14" si="8">SUM(T15:T17)</f>
        <v>693289.22014458035</v>
      </c>
      <c r="U14" s="260">
        <f t="shared" si="8"/>
        <v>714409.40849808138</v>
      </c>
      <c r="V14" s="140">
        <f>SUM(S14:U14)</f>
        <v>2132527.9880838324</v>
      </c>
      <c r="W14" s="260">
        <f>SUM(W15:W17)</f>
        <v>714468.35679060279</v>
      </c>
      <c r="X14" s="260">
        <f t="shared" ref="X14:Y14" si="9">SUM(X15:X17)</f>
        <v>704026.37481929222</v>
      </c>
      <c r="Y14" s="260">
        <f t="shared" si="9"/>
        <v>735563.61943622457</v>
      </c>
      <c r="Z14" s="140">
        <f>SUM(W14:Y14)</f>
        <v>2154058.3510461194</v>
      </c>
      <c r="AA14" s="260">
        <f>SUM(AA15:AA17)</f>
        <v>8870760.6762699187</v>
      </c>
      <c r="AB14" s="137"/>
      <c r="AC14" s="137"/>
    </row>
    <row r="15" spans="2:31" ht="21" customHeight="1" outlineLevel="1" x14ac:dyDescent="0.25">
      <c r="B15" s="134" t="s">
        <v>95</v>
      </c>
      <c r="C15" s="125"/>
      <c r="D15" s="125"/>
      <c r="E15" s="139">
        <f>'Dettes - CORRA'!$I7+'Dettes - CORRA'!$S7</f>
        <v>745127.08712328807</v>
      </c>
      <c r="F15" s="139">
        <f>'Dettes - CORRA'!$I8+'Dettes - CORRA'!$S8</f>
        <v>649495.16175765032</v>
      </c>
      <c r="G15" s="139">
        <f>'Dettes - CORRA'!$I9+'Dettes - CORRA'!$S9</f>
        <v>756712.36129437457</v>
      </c>
      <c r="H15" s="139">
        <f>'Dettes - CORRA'!$I10+'Dettes - CORRA'!$S10+'Dettes - Prime et Partiel'!P6</f>
        <v>640668.21099243779</v>
      </c>
      <c r="I15" s="139">
        <f>'Dettes - CORRA'!$I11+'Dettes - CORRA'!$S11+'Dettes - Prime et Partiel'!P7+'Dettes - Prime et Partiel'!P8+'Dettes - Prime et Partiel'!K7+'Dettes - Prime et Partiel'!K8</f>
        <v>742505.47274704324</v>
      </c>
      <c r="J15" s="140">
        <f>SUM(G15:I15)</f>
        <v>2139886.0450338554</v>
      </c>
      <c r="K15" s="139">
        <f>'Dettes - CORRA'!$I12+'Dettes - CORRA'!$S12+'Dettes - CORRA'!$N12</f>
        <v>664574.59503850888</v>
      </c>
      <c r="L15" s="261">
        <f>'Dettes - CORRA'!$I13+'Dettes - CORRA'!$S13+'Dettes - CORRA'!$N13</f>
        <v>615761.64106458286</v>
      </c>
      <c r="M15" s="261">
        <f>'Dettes - CORRA'!$I14+'Dettes - CORRA'!$S14+'Dettes - CORRA'!$N14</f>
        <v>558839.77636549203</v>
      </c>
      <c r="N15" s="140">
        <f t="shared" ref="N15:N17" si="10">SUM(K15:M15)</f>
        <v>1839176.0124685839</v>
      </c>
      <c r="O15" s="261">
        <f>'Dettes - CORRA'!$I15+'Dettes - CORRA'!$S15+'Dettes - CORRA'!$N15</f>
        <v>630591.96797096846</v>
      </c>
      <c r="P15" s="261">
        <f>'Dettes - CORRA'!$I16+'Dettes - CORRA'!$S16+'Dettes - CORRA'!$N16</f>
        <v>517463.26992218097</v>
      </c>
      <c r="Q15" s="261">
        <f>'Dettes - CORRA'!$I17+'Dettes - CORRA'!$S17+'Dettes - CORRA'!$N17</f>
        <v>551220.63677822961</v>
      </c>
      <c r="R15" s="140">
        <f t="shared" ref="R15:R16" si="11">SUM(O15:Q15)</f>
        <v>1699275.8746713791</v>
      </c>
      <c r="S15" s="261">
        <f>'Dettes - CORRA'!$I18+'Dettes - CORRA'!$S18+'Dettes - CORRA'!$N18</f>
        <v>559481.15944116982</v>
      </c>
      <c r="T15" s="261">
        <f>'Dettes - CORRA'!$I19+'Dettes - CORRA'!$S19+'Dettes - CORRA'!$N19</f>
        <v>506415.85014458146</v>
      </c>
      <c r="U15" s="261">
        <f>'Dettes - CORRA'!$I20+'Dettes - CORRA'!$S20+'Dettes - CORRA'!$N20</f>
        <v>540616.3384980791</v>
      </c>
      <c r="V15" s="140">
        <f t="shared" ref="V15:V16" si="12">SUM(S15:U15)</f>
        <v>1606513.3480838304</v>
      </c>
      <c r="W15" s="261">
        <f>'Dettes - CORRA'!$I21+'Dettes - CORRA'!$S21+'Dettes - CORRA'!$N21</f>
        <v>539936.46679060231</v>
      </c>
      <c r="X15" s="261">
        <f>'Dettes - CORRA'!$I22+'Dettes - CORRA'!$S22+'Dettes - CORRA'!$N22</f>
        <v>521855.39481929323</v>
      </c>
      <c r="Y15" s="261">
        <f>'Dettes - CORRA'!$I23+'Dettes - CORRA'!$S23+'Dettes - CORRA'!$N23</f>
        <v>573292.30943622498</v>
      </c>
      <c r="Z15" s="140">
        <f>SUM(W15:Y15)</f>
        <v>1635084.1710461206</v>
      </c>
      <c r="AA15" s="261">
        <f>SUM('Dettes - CORRA'!I12:I23,'Dettes - CORRA'!N12:N23,'Dettes - CORRA'!S12:S23)</f>
        <v>6780049.4062699135</v>
      </c>
      <c r="AB15" s="137"/>
      <c r="AC15" s="137"/>
      <c r="AE15" s="124"/>
    </row>
    <row r="16" spans="2:31" ht="21" customHeight="1" outlineLevel="1" x14ac:dyDescent="0.25">
      <c r="B16" s="134" t="s">
        <v>96</v>
      </c>
      <c r="C16" s="125"/>
      <c r="D16" s="125"/>
      <c r="E16" s="139">
        <f>'Dettes - CORRA'!$H7</f>
        <v>123155.70000000298</v>
      </c>
      <c r="F16" s="139">
        <f>'Dettes - CORRA'!$H8</f>
        <v>147282.17999999784</v>
      </c>
      <c r="G16" s="139">
        <f>'Dettes - CORRA'!$H9</f>
        <v>141666.0700000003</v>
      </c>
      <c r="H16" s="139">
        <f>'Dettes - CORRA'!$H10</f>
        <v>160960.1399999983</v>
      </c>
      <c r="I16" s="139">
        <f>'Dettes - CORRA'!$H11</f>
        <v>149183.86000000127</v>
      </c>
      <c r="J16" s="140">
        <f t="shared" ref="J16" si="13">SUM(G16:I16)</f>
        <v>451810.06999999983</v>
      </c>
      <c r="K16" s="139">
        <f>'Dettes - CORRA'!$H12+'Dettes - CORRA'!$M12</f>
        <v>160529.67000000342</v>
      </c>
      <c r="L16" s="261">
        <f>'Dettes - CORRA'!$H13+'Dettes - CORRA'!$M13</f>
        <v>175546.79000000379</v>
      </c>
      <c r="M16" s="261">
        <f>'Dettes - CORRA'!$H14+'Dettes - CORRA'!$M14</f>
        <v>190276.20999999787</v>
      </c>
      <c r="N16" s="140">
        <f t="shared" si="10"/>
        <v>526352.67000000505</v>
      </c>
      <c r="O16" s="261">
        <f>'Dettes - CORRA'!$H15+'Dettes - CORRA'!$M15</f>
        <v>158124.65999999986</v>
      </c>
      <c r="P16" s="261">
        <f>'Dettes - CORRA'!$H16+'Dettes - CORRA'!$M16</f>
        <v>189675.15999999762</v>
      </c>
      <c r="Q16" s="261">
        <f>'Dettes - CORRA'!$H17+'Dettes - CORRA'!$M17</f>
        <v>171569.96000000119</v>
      </c>
      <c r="R16" s="140">
        <f t="shared" si="11"/>
        <v>519369.77999999869</v>
      </c>
      <c r="S16" s="261">
        <f>'Dettes - CORRA'!$H18+'Dettes - CORRA'!$M18</f>
        <v>165348.20000000094</v>
      </c>
      <c r="T16" s="261">
        <f>'Dettes - CORRA'!$H19+'Dettes - CORRA'!$M19</f>
        <v>186873.36999999892</v>
      </c>
      <c r="U16" s="261">
        <f>'Dettes - CORRA'!$H20+'Dettes - CORRA'!$M20</f>
        <v>173793.07000000222</v>
      </c>
      <c r="V16" s="140">
        <f t="shared" si="12"/>
        <v>526014.64000000199</v>
      </c>
      <c r="W16" s="261">
        <f>'Dettes - CORRA'!$H21+'Dettes - CORRA'!$M21</f>
        <v>174531.89000000048</v>
      </c>
      <c r="X16" s="261">
        <f>'Dettes - CORRA'!$H22+'Dettes - CORRA'!$M22</f>
        <v>182170.97999999893</v>
      </c>
      <c r="Y16" s="261">
        <f>'Dettes - CORRA'!$H23+'Dettes - CORRA'!$M23</f>
        <v>162271.30999999962</v>
      </c>
      <c r="Z16" s="140">
        <f t="shared" ref="Z16" si="14">SUM(W16:Y16)</f>
        <v>518974.179999999</v>
      </c>
      <c r="AA16" s="261">
        <f>SUM('Dettes - CORRA'!H12:H23,'Dettes - CORRA'!M12:M23)</f>
        <v>2090711.2700000047</v>
      </c>
      <c r="AB16" s="137"/>
      <c r="AC16" s="137"/>
      <c r="AD16" s="226"/>
      <c r="AE16" s="124"/>
    </row>
    <row r="17" spans="2:31" ht="21" customHeight="1" outlineLevel="1" x14ac:dyDescent="0.25">
      <c r="B17" s="134" t="s">
        <v>106</v>
      </c>
      <c r="C17" s="125"/>
      <c r="D17" s="125"/>
      <c r="E17" s="137">
        <f>'Dettes - CORRA'!$R7</f>
        <v>1500000</v>
      </c>
      <c r="F17" s="137">
        <f>'Dettes - CORRA'!$R8</f>
        <v>0</v>
      </c>
      <c r="G17" s="137">
        <f>'Dettes - CORRA'!$R9</f>
        <v>0</v>
      </c>
      <c r="H17" s="137">
        <f>'Dettes - CORRA'!$R10</f>
        <v>0</v>
      </c>
      <c r="I17" s="137">
        <f>'Dettes - CORRA'!$R11+'Dettes - Prime et Partiel'!N9</f>
        <v>5000000</v>
      </c>
      <c r="J17" s="140">
        <f>SUM(G17:I17)</f>
        <v>5000000</v>
      </c>
      <c r="K17" s="137">
        <f>'Dettes - CORRA'!$R12</f>
        <v>0</v>
      </c>
      <c r="L17" s="259">
        <f>'Dettes - CORRA'!$R13</f>
        <v>0</v>
      </c>
      <c r="M17" s="259">
        <f>'Dettes - CORRA'!$R14</f>
        <v>0</v>
      </c>
      <c r="N17" s="140">
        <f t="shared" si="10"/>
        <v>0</v>
      </c>
      <c r="O17" s="259">
        <f>'Dettes - CORRA'!$R15</f>
        <v>0</v>
      </c>
      <c r="P17" s="259">
        <f>'Dettes - CORRA'!$R16</f>
        <v>0</v>
      </c>
      <c r="Q17" s="259">
        <f>'Dettes - CORRA'!$R17</f>
        <v>0</v>
      </c>
      <c r="R17" s="140">
        <f>SUM(O17:Q17)</f>
        <v>0</v>
      </c>
      <c r="S17" s="259">
        <f>'Dettes - CORRA'!$R18</f>
        <v>0</v>
      </c>
      <c r="T17" s="259">
        <f>'Dettes - CORRA'!$R19</f>
        <v>0</v>
      </c>
      <c r="U17" s="259">
        <f>'Dettes - CORRA'!$R20</f>
        <v>0</v>
      </c>
      <c r="V17" s="140">
        <f>SUM(S17:U17)</f>
        <v>0</v>
      </c>
      <c r="W17" s="259">
        <f>'Dettes - CORRA'!$R21</f>
        <v>0</v>
      </c>
      <c r="X17" s="259">
        <f>'Dettes - CORRA'!$R22</f>
        <v>0</v>
      </c>
      <c r="Y17" s="259">
        <f>'Dettes - CORRA'!$R23</f>
        <v>0</v>
      </c>
      <c r="Z17" s="140">
        <f>SUM(W17:Y17)</f>
        <v>0</v>
      </c>
      <c r="AA17" s="259">
        <f>SUM('Dettes - CORRA'!R12:R23)</f>
        <v>0</v>
      </c>
      <c r="AB17" s="137"/>
      <c r="AC17" s="137"/>
      <c r="AD17" s="226"/>
      <c r="AE17" s="124"/>
    </row>
    <row r="18" spans="2:31" ht="24" customHeight="1" x14ac:dyDescent="0.25">
      <c r="B18" s="142" t="s">
        <v>135</v>
      </c>
      <c r="C18" s="143"/>
      <c r="D18" s="143"/>
      <c r="E18" s="202">
        <f>SUM(E19:E21)</f>
        <v>115461.08890410958</v>
      </c>
      <c r="F18" s="202">
        <f t="shared" ref="F18:H18" si="15">SUM(F19:F21)</f>
        <v>175473.56172318556</v>
      </c>
      <c r="G18" s="202">
        <f t="shared" si="15"/>
        <v>170832.39876171347</v>
      </c>
      <c r="H18" s="202">
        <f t="shared" si="15"/>
        <v>94535.589198642367</v>
      </c>
      <c r="I18" s="202">
        <f>SUM(I19:I21)</f>
        <v>93576.697431132197</v>
      </c>
      <c r="J18" s="203">
        <f>SUM(G18:I18)</f>
        <v>358944.68539148802</v>
      </c>
      <c r="K18" s="202">
        <f>SUM(K19:K21)</f>
        <v>61493.733012693272</v>
      </c>
      <c r="L18" s="262">
        <f t="shared" ref="L18:M18" si="16">SUM(L19:L21)</f>
        <v>28197.067184877735</v>
      </c>
      <c r="M18" s="262">
        <f t="shared" si="16"/>
        <v>2889.3639742972591</v>
      </c>
      <c r="N18" s="203">
        <f>SUM(K18:M18)</f>
        <v>92580.164171868266</v>
      </c>
      <c r="O18" s="262">
        <f>SUM(O19:O21)</f>
        <v>2876.0120449742089</v>
      </c>
      <c r="P18" s="262">
        <f t="shared" ref="P18:Q18" si="17">SUM(P19:P21)</f>
        <v>-34863.451480835654</v>
      </c>
      <c r="Q18" s="262">
        <f t="shared" si="17"/>
        <v>-42763.15016665031</v>
      </c>
      <c r="R18" s="203">
        <f>SUM(O18:Q18)</f>
        <v>-74750.589602511754</v>
      </c>
      <c r="S18" s="262">
        <f>SUM(S19:S21)</f>
        <v>-47612.034545060618</v>
      </c>
      <c r="T18" s="262">
        <f t="shared" ref="T18:U18" si="18">SUM(T19:T21)</f>
        <v>-56715.868308529636</v>
      </c>
      <c r="U18" s="262">
        <f t="shared" si="18"/>
        <v>-50544.80388351428</v>
      </c>
      <c r="V18" s="203">
        <f>SUM(S18:U18)</f>
        <v>-154872.70673710454</v>
      </c>
      <c r="W18" s="262">
        <f>SUM(W19:W21)</f>
        <v>-50482.942635489984</v>
      </c>
      <c r="X18" s="262">
        <f t="shared" ref="X18:Y18" si="19">SUM(X19:X21)</f>
        <v>-53453.07913271428</v>
      </c>
      <c r="Y18" s="262">
        <f t="shared" si="19"/>
        <v>-44304.177933482191</v>
      </c>
      <c r="Z18" s="203">
        <f>SUM(W18:Y18)</f>
        <v>-148240.19970168645</v>
      </c>
      <c r="AA18" s="262">
        <f>SUM(AA19:AA21)</f>
        <v>-285283.33186943445</v>
      </c>
      <c r="AB18" s="137"/>
      <c r="AC18" s="137"/>
      <c r="AE18" s="124"/>
    </row>
    <row r="19" spans="2:31" ht="21" customHeight="1" outlineLevel="1" x14ac:dyDescent="0.25">
      <c r="B19" s="134" t="s">
        <v>98</v>
      </c>
      <c r="C19" s="125"/>
      <c r="D19" s="125"/>
      <c r="E19" s="138">
        <f>-('BNC-A'!$G17+'BNC-A'!$J17)</f>
        <v>112996.26999999999</v>
      </c>
      <c r="F19" s="138">
        <f>-('BNC-A'!$G18+'BNC-A'!$J18)</f>
        <v>102692.18</v>
      </c>
      <c r="G19" s="138">
        <f>-('BNC-A'!$G19+'BNC-A'!$J19)</f>
        <v>97841.1</v>
      </c>
      <c r="H19" s="138">
        <f>-('BNC-A'!$G20+'BNC-A'!$J20)</f>
        <v>62237</v>
      </c>
      <c r="I19" s="138">
        <f>-('BNC-A'!$G21+'BNC-A'!$J21)</f>
        <v>52079.869999999995</v>
      </c>
      <c r="J19" s="203">
        <f>SUM(G19:I19)</f>
        <v>212157.97</v>
      </c>
      <c r="K19" s="138">
        <f>-('BNC-A'!$G22+'BNC-A'!$J22)-'BNC-B'!G18</f>
        <v>33591.39</v>
      </c>
      <c r="L19" s="263">
        <f>-('BNC-A'!$G23+'BNC-A'!$J23)-'BNC-B'!G19</f>
        <v>16604.509999999998</v>
      </c>
      <c r="M19" s="263">
        <f>-('BNC-A'!$G24+'BNC-A'!$J24)-'BNC-B'!G20</f>
        <v>6765.65</v>
      </c>
      <c r="N19" s="203">
        <f>SUM(K19:M19)</f>
        <v>56961.549999999996</v>
      </c>
      <c r="O19" s="263">
        <f>-('BNC-A'!$G25+'BNC-A'!$J25)-'BNC-B'!G21</f>
        <v>-7669.09</v>
      </c>
      <c r="P19" s="263">
        <f>-('BNC-A'!$G26+'BNC-A'!$J26)-'BNC-B'!G22</f>
        <v>-16266.53</v>
      </c>
      <c r="Q19" s="263">
        <f>-('BNC-A'!$G27+'BNC-A'!$J27)-'BNC-B'!G23</f>
        <v>-30027.78</v>
      </c>
      <c r="R19" s="203">
        <f>SUM(O19:Q19)</f>
        <v>-53963.4</v>
      </c>
      <c r="S19" s="263">
        <f>-('BNC-A'!$G28+'BNC-A'!$J28)-'BNC-B'!G24</f>
        <v>-36044.92</v>
      </c>
      <c r="T19" s="263">
        <f>-('BNC-A'!$G29+'BNC-A'!$J29)-'BNC-B'!G25</f>
        <v>-32636.06</v>
      </c>
      <c r="U19" s="263">
        <f>-('BNC-A'!$G30+'BNC-A'!$J30)-'BNC-B'!G26</f>
        <v>-34846.36</v>
      </c>
      <c r="V19" s="203">
        <f>SUM(S19:U19)</f>
        <v>-103527.34</v>
      </c>
      <c r="W19" s="263">
        <f>-('BNC-A'!$G31+'BNC-A'!$J31)-'BNC-B'!G27</f>
        <v>-34811.480000000003</v>
      </c>
      <c r="X19" s="263">
        <f>-('BNC-A'!$G32+'BNC-A'!$J32)-'BNC-B'!G28</f>
        <v>-33654.629999999997</v>
      </c>
      <c r="Y19" s="263">
        <f>-('BNC-A'!$G33+'BNC-A'!$J33)-'BNC-B'!G29</f>
        <v>-36979.599999999991</v>
      </c>
      <c r="Z19" s="203">
        <f>SUM(W19:Y19)</f>
        <v>-105445.70999999999</v>
      </c>
      <c r="AA19" s="263">
        <f>-(SUM('BNC-A'!G22:G33)+SUM('BNC-A'!J22:J33)+SUM('BNC-B'!G18:G29))</f>
        <v>-205974.90000000002</v>
      </c>
      <c r="AB19" s="137"/>
      <c r="AC19" s="137"/>
    </row>
    <row r="20" spans="2:31" ht="21" customHeight="1" outlineLevel="1" x14ac:dyDescent="0.25">
      <c r="B20" s="134" t="s">
        <v>99</v>
      </c>
      <c r="C20" s="125"/>
      <c r="D20" s="125"/>
      <c r="E20" s="138">
        <f>'TD-A'!$O17</f>
        <v>2464.8189041095902</v>
      </c>
      <c r="F20" s="138">
        <f>'TD-A'!$O18</f>
        <v>51679.545284829408</v>
      </c>
      <c r="G20" s="138">
        <f>'TD-A'!$O19</f>
        <v>54085.446007152554</v>
      </c>
      <c r="H20" s="138">
        <f>'TD-A'!$O20</f>
        <v>26805.319843565725</v>
      </c>
      <c r="I20" s="138">
        <f>'TD-A'!$O21</f>
        <v>33518.830679628867</v>
      </c>
      <c r="J20" s="203">
        <f t="shared" ref="J20" si="20">SUM(G20:I20)</f>
        <v>114409.59653034715</v>
      </c>
      <c r="K20" s="138">
        <f>'TD-A'!$O22+'TD-B'!O17</f>
        <v>24065.42274809859</v>
      </c>
      <c r="L20" s="263">
        <f>'TD-A'!$O23+'TD-B'!O18</f>
        <v>13240.296297360797</v>
      </c>
      <c r="M20" s="263">
        <f>'TD-A'!$O24+'TD-B'!O19</f>
        <v>-280.80632639271244</v>
      </c>
      <c r="N20" s="203">
        <f t="shared" ref="N20:N21" si="21">SUM(K20:M20)</f>
        <v>37024.912719066677</v>
      </c>
      <c r="O20" s="263">
        <f>'TD-A'!$O25+'TD-B'!O20</f>
        <v>17102.420331091649</v>
      </c>
      <c r="P20" s="263">
        <f>'TD-A'!$O26+'TD-B'!O21</f>
        <v>-9859.2641282417026</v>
      </c>
      <c r="Q20" s="263">
        <f>'TD-A'!$O27+'TD-B'!O22</f>
        <v>-1589.4877722666042</v>
      </c>
      <c r="R20" s="203">
        <f t="shared" ref="R20:R21" si="22">SUM(O20:Q20)</f>
        <v>5653.6684305833423</v>
      </c>
      <c r="S20" s="263">
        <f>'TD-A'!$O28+'TD-B'!O23</f>
        <v>552.92486557037955</v>
      </c>
      <c r="T20" s="263">
        <f>'TD-A'!$O29+'TD-B'!O24</f>
        <v>-11980.046002814819</v>
      </c>
      <c r="U20" s="263">
        <f>'TD-A'!$O30+'TD-B'!O25</f>
        <v>-3619.0434150684941</v>
      </c>
      <c r="V20" s="203">
        <f t="shared" ref="V20:V21" si="23">SUM(S20:U20)</f>
        <v>-15046.164552312934</v>
      </c>
      <c r="W20" s="263">
        <f>'TD-A'!$O31+'TD-B'!O26</f>
        <v>-3612.5265041190432</v>
      </c>
      <c r="X20" s="263">
        <f>'TD-A'!$O32+'TD-B'!O27</f>
        <v>-7760.057794875851</v>
      </c>
      <c r="Y20" s="263">
        <f>'TD-A'!$O33+'TD-B'!O28</f>
        <v>4693.1604247529613</v>
      </c>
      <c r="Z20" s="203">
        <f t="shared" ref="Z20:Z21" si="24">SUM(W20:Y20)</f>
        <v>-6679.4238742419329</v>
      </c>
      <c r="AA20" s="263">
        <f>SUM('TD-A'!O22:O33,'TD-B'!O17:O28)</f>
        <v>20952.992723095143</v>
      </c>
      <c r="AB20" s="137"/>
      <c r="AC20" s="137"/>
    </row>
    <row r="21" spans="2:31" ht="21" customHeight="1" outlineLevel="1" x14ac:dyDescent="0.25">
      <c r="B21" s="134" t="s">
        <v>100</v>
      </c>
      <c r="C21" s="125"/>
      <c r="D21" s="125"/>
      <c r="E21" s="138">
        <v>0</v>
      </c>
      <c r="F21" s="138">
        <f>'BMO-A'!$M10</f>
        <v>21101.836438356171</v>
      </c>
      <c r="G21" s="138">
        <f>'BMO-A'!$M11</f>
        <v>18905.85275456091</v>
      </c>
      <c r="H21" s="138">
        <f>'BMO-A'!$M12</f>
        <v>5493.2693550766417</v>
      </c>
      <c r="I21" s="138">
        <f>'BMO-A'!$M13</f>
        <v>7977.996751503335</v>
      </c>
      <c r="J21" s="203">
        <f>SUM(G21:I21)</f>
        <v>32377.118861140887</v>
      </c>
      <c r="K21" s="138">
        <f>'BMO-A'!$M14+'BMO-B'!M10</f>
        <v>3836.920264594688</v>
      </c>
      <c r="L21" s="263">
        <f>'BMO-A'!$M15+'BMO-B'!M11</f>
        <v>-1647.7391124830592</v>
      </c>
      <c r="M21" s="263">
        <f>'BMO-A'!$M16+'BMO-B'!M12</f>
        <v>-3595.4796993100281</v>
      </c>
      <c r="N21" s="203">
        <f t="shared" si="21"/>
        <v>-1406.2985471983993</v>
      </c>
      <c r="O21" s="263">
        <f>'BMO-A'!$M17+'BMO-B'!M13</f>
        <v>-6557.31828611744</v>
      </c>
      <c r="P21" s="263">
        <f>'BMO-A'!$M18+'BMO-B'!M14</f>
        <v>-8737.657352593953</v>
      </c>
      <c r="Q21" s="263">
        <f>'BMO-A'!$M19+'BMO-B'!M15</f>
        <v>-11145.882394383707</v>
      </c>
      <c r="R21" s="203">
        <f t="shared" si="22"/>
        <v>-26440.858033095101</v>
      </c>
      <c r="S21" s="263">
        <f>'BMO-A'!$M20+'BMO-B'!M16</f>
        <v>-12120.039410630998</v>
      </c>
      <c r="T21" s="263">
        <f>'BMO-A'!$M21+'BMO-B'!M17</f>
        <v>-12099.762305714818</v>
      </c>
      <c r="U21" s="263">
        <f>'BMO-A'!$M22+'BMO-B'!M18</f>
        <v>-12079.400468445787</v>
      </c>
      <c r="V21" s="203">
        <f t="shared" si="23"/>
        <v>-36299.202184791604</v>
      </c>
      <c r="W21" s="263">
        <f>'BMO-A'!$M23+'BMO-B'!M19</f>
        <v>-12058.936131370938</v>
      </c>
      <c r="X21" s="263">
        <f>'BMO-A'!$M24+'BMO-B'!M20</f>
        <v>-12038.39133783843</v>
      </c>
      <c r="Y21" s="263">
        <f>'BMO-A'!$M25+'BMO-B'!M21</f>
        <v>-12017.738358235158</v>
      </c>
      <c r="Z21" s="203">
        <f t="shared" si="24"/>
        <v>-36115.06582744453</v>
      </c>
      <c r="AA21" s="263">
        <f>SUM('BMO-A'!M14:M25,'BMO-B'!M10:M21)</f>
        <v>-100261.4245925296</v>
      </c>
      <c r="AB21" s="137"/>
      <c r="AC21" s="137"/>
    </row>
    <row r="22" spans="2:31" ht="21" customHeight="1" x14ac:dyDescent="0.25">
      <c r="B22" s="142" t="s">
        <v>253</v>
      </c>
      <c r="C22" s="125"/>
      <c r="D22" s="125"/>
      <c r="E22" s="202">
        <f>E23+E24</f>
        <v>0</v>
      </c>
      <c r="F22" s="202">
        <f t="shared" ref="F22:I22" si="25">F23+F24</f>
        <v>0</v>
      </c>
      <c r="G22" s="202">
        <f t="shared" si="25"/>
        <v>22555.616438356163</v>
      </c>
      <c r="H22" s="202">
        <f t="shared" si="25"/>
        <v>0</v>
      </c>
      <c r="I22" s="202">
        <f t="shared" si="25"/>
        <v>25000</v>
      </c>
      <c r="J22" s="203">
        <f t="shared" ref="J22:J24" si="26">SUM(G22:I22)</f>
        <v>47555.616438356163</v>
      </c>
      <c r="K22" s="202">
        <f>K23+K24</f>
        <v>12874.520547945205</v>
      </c>
      <c r="L22" s="262">
        <f t="shared" ref="L22:M22" si="27">L23+L24</f>
        <v>0</v>
      </c>
      <c r="M22" s="262">
        <f t="shared" si="27"/>
        <v>0</v>
      </c>
      <c r="N22" s="203">
        <f>N23+N24</f>
        <v>12874.520547945205</v>
      </c>
      <c r="O22" s="262">
        <f>O23+O24</f>
        <v>15682.191780821917</v>
      </c>
      <c r="P22" s="262">
        <f t="shared" ref="P22:Q22" si="28">P23+P24</f>
        <v>0</v>
      </c>
      <c r="Q22" s="262">
        <f t="shared" si="28"/>
        <v>0</v>
      </c>
      <c r="R22" s="203">
        <f>R23+R24</f>
        <v>15682.191780821917</v>
      </c>
      <c r="S22" s="262">
        <f>S23+S24</f>
        <v>15856.438356164384</v>
      </c>
      <c r="T22" s="262">
        <f t="shared" ref="T22:U22" si="29">T23+T24</f>
        <v>0</v>
      </c>
      <c r="U22" s="262">
        <f t="shared" si="29"/>
        <v>0</v>
      </c>
      <c r="V22" s="203">
        <f>V23+V24</f>
        <v>15856.438356164384</v>
      </c>
      <c r="W22" s="262">
        <f>W23+W24</f>
        <v>16030.68493150685</v>
      </c>
      <c r="X22" s="262">
        <f t="shared" ref="X22:Y22" si="30">X23+X24</f>
        <v>0</v>
      </c>
      <c r="Y22" s="262">
        <f t="shared" si="30"/>
        <v>25000</v>
      </c>
      <c r="Z22" s="203">
        <f>Z23+Z24</f>
        <v>41030.684931506854</v>
      </c>
      <c r="AA22" s="262">
        <f>AA23+AA24</f>
        <v>85443.835616438359</v>
      </c>
      <c r="AB22" s="137"/>
      <c r="AC22" s="137"/>
      <c r="AE22" s="124"/>
    </row>
    <row r="23" spans="2:31" ht="21" customHeight="1" outlineLevel="1" x14ac:dyDescent="0.25">
      <c r="B23" s="134" t="s">
        <v>235</v>
      </c>
      <c r="C23" s="125"/>
      <c r="D23" s="125"/>
      <c r="E23" s="138">
        <v>0</v>
      </c>
      <c r="F23" s="138">
        <v>0</v>
      </c>
      <c r="G23" s="138">
        <f>SUM(Frais!H4:H7)</f>
        <v>22555.616438356163</v>
      </c>
      <c r="H23" s="138">
        <v>0</v>
      </c>
      <c r="I23" s="138">
        <v>0</v>
      </c>
      <c r="J23" s="203">
        <f t="shared" si="26"/>
        <v>22555.616438356163</v>
      </c>
      <c r="K23" s="138">
        <f>SUM(Frais!H8:H10)</f>
        <v>12874.520547945205</v>
      </c>
      <c r="L23" s="263">
        <v>0</v>
      </c>
      <c r="M23" s="263">
        <v>0</v>
      </c>
      <c r="N23" s="203">
        <f>SUM(K23:M23)</f>
        <v>12874.520547945205</v>
      </c>
      <c r="O23" s="263">
        <f>Frais!H11</f>
        <v>15682.191780821917</v>
      </c>
      <c r="P23" s="263">
        <v>0</v>
      </c>
      <c r="Q23" s="263">
        <v>0</v>
      </c>
      <c r="R23" s="203">
        <f>SUM(O23:Q23)</f>
        <v>15682.191780821917</v>
      </c>
      <c r="S23" s="263">
        <f>Frais!H12</f>
        <v>15856.438356164384</v>
      </c>
      <c r="T23" s="263">
        <v>0</v>
      </c>
      <c r="U23" s="263">
        <v>0</v>
      </c>
      <c r="V23" s="203">
        <f>SUM(S23:U23)</f>
        <v>15856.438356164384</v>
      </c>
      <c r="W23" s="263">
        <f>Frais!H13</f>
        <v>16030.68493150685</v>
      </c>
      <c r="X23" s="263">
        <v>0</v>
      </c>
      <c r="Y23" s="263">
        <v>0</v>
      </c>
      <c r="Z23" s="203">
        <f>SUM(W23:Y23)</f>
        <v>16030.68493150685</v>
      </c>
      <c r="AA23" s="263">
        <f>N23+R23+Frais!H12+Frais!H13</f>
        <v>60443.835616438359</v>
      </c>
      <c r="AB23" s="137"/>
      <c r="AC23" s="137"/>
    </row>
    <row r="24" spans="2:31" ht="21" customHeight="1" outlineLevel="1" x14ac:dyDescent="0.25">
      <c r="B24" s="134" t="s">
        <v>250</v>
      </c>
      <c r="C24" s="125"/>
      <c r="D24" s="125"/>
      <c r="E24" s="138">
        <v>0</v>
      </c>
      <c r="F24" s="138">
        <v>0</v>
      </c>
      <c r="G24" s="138">
        <v>0</v>
      </c>
      <c r="H24" s="138">
        <v>0</v>
      </c>
      <c r="I24" s="138">
        <f>Frais!M4</f>
        <v>25000</v>
      </c>
      <c r="J24" s="203">
        <f t="shared" si="26"/>
        <v>25000</v>
      </c>
      <c r="K24" s="138">
        <v>0</v>
      </c>
      <c r="L24" s="263">
        <v>0</v>
      </c>
      <c r="M24" s="263">
        <v>0</v>
      </c>
      <c r="N24" s="203">
        <f>SUM(K24:M24)</f>
        <v>0</v>
      </c>
      <c r="O24" s="263">
        <v>0</v>
      </c>
      <c r="P24" s="263">
        <v>0</v>
      </c>
      <c r="Q24" s="263">
        <v>0</v>
      </c>
      <c r="R24" s="203">
        <f>SUM(O24:Q24)</f>
        <v>0</v>
      </c>
      <c r="S24" s="263">
        <v>0</v>
      </c>
      <c r="T24" s="263">
        <v>0</v>
      </c>
      <c r="U24" s="263">
        <v>0</v>
      </c>
      <c r="V24" s="203">
        <f>SUM(S24:U24)</f>
        <v>0</v>
      </c>
      <c r="W24" s="263">
        <v>0</v>
      </c>
      <c r="X24" s="263">
        <v>0</v>
      </c>
      <c r="Y24" s="263">
        <f>Frais!M5</f>
        <v>25000</v>
      </c>
      <c r="Z24" s="203">
        <f>SUM(W24:Y24)</f>
        <v>25000</v>
      </c>
      <c r="AA24" s="263">
        <f>Frais!M5</f>
        <v>25000</v>
      </c>
      <c r="AB24" s="137"/>
      <c r="AC24" s="137"/>
    </row>
    <row r="25" spans="2:31" ht="24" customHeight="1" x14ac:dyDescent="0.25">
      <c r="B25" s="142" t="s">
        <v>223</v>
      </c>
      <c r="C25" s="125"/>
      <c r="D25" s="125"/>
      <c r="E25" s="202">
        <f>E26+E27</f>
        <v>100000</v>
      </c>
      <c r="F25" s="202">
        <f>F26+F27</f>
        <v>100000</v>
      </c>
      <c r="G25" s="202">
        <f t="shared" ref="G25:I25" si="31">G26+G27</f>
        <v>100000</v>
      </c>
      <c r="H25" s="202">
        <f t="shared" si="31"/>
        <v>100000</v>
      </c>
      <c r="I25" s="202">
        <f t="shared" si="31"/>
        <v>100000</v>
      </c>
      <c r="J25" s="203">
        <f>J26+J27</f>
        <v>100000</v>
      </c>
      <c r="K25" s="202">
        <f>K26+K27</f>
        <v>100000</v>
      </c>
      <c r="L25" s="262">
        <f t="shared" ref="L25:M25" si="32">L26+L27</f>
        <v>100000</v>
      </c>
      <c r="M25" s="262">
        <f t="shared" si="32"/>
        <v>50000</v>
      </c>
      <c r="N25" s="203">
        <f>N26+N27</f>
        <v>50000</v>
      </c>
      <c r="O25" s="262">
        <f t="shared" ref="O25:Q25" si="33">O26+O27</f>
        <v>50000</v>
      </c>
      <c r="P25" s="262">
        <f t="shared" si="33"/>
        <v>50000</v>
      </c>
      <c r="Q25" s="262">
        <f t="shared" si="33"/>
        <v>50000</v>
      </c>
      <c r="R25" s="203">
        <f>R26+R27</f>
        <v>50000</v>
      </c>
      <c r="S25" s="262">
        <f t="shared" ref="S25:U25" si="34">S26+S27</f>
        <v>50000</v>
      </c>
      <c r="T25" s="262">
        <f t="shared" si="34"/>
        <v>50000</v>
      </c>
      <c r="U25" s="262">
        <f t="shared" si="34"/>
        <v>50000</v>
      </c>
      <c r="V25" s="203">
        <f>V26+V27</f>
        <v>50000</v>
      </c>
      <c r="W25" s="262">
        <f t="shared" ref="W25:Y25" si="35">W26+W27</f>
        <v>50000</v>
      </c>
      <c r="X25" s="262">
        <f t="shared" si="35"/>
        <v>50000</v>
      </c>
      <c r="Y25" s="262">
        <f t="shared" si="35"/>
        <v>50000</v>
      </c>
      <c r="Z25" s="203">
        <f>Z26+Z27</f>
        <v>50000</v>
      </c>
      <c r="AA25" s="262">
        <f>SUM(AA26:AA27)</f>
        <v>50000</v>
      </c>
      <c r="AB25" s="137"/>
      <c r="AC25" s="137"/>
    </row>
    <row r="26" spans="2:31" ht="21" customHeight="1" outlineLevel="1" x14ac:dyDescent="0.25">
      <c r="B26" s="134" t="s">
        <v>221</v>
      </c>
      <c r="C26" s="125"/>
      <c r="D26" s="125"/>
      <c r="E26" s="138">
        <v>50000</v>
      </c>
      <c r="F26" s="138">
        <v>50000</v>
      </c>
      <c r="G26" s="138">
        <v>50000</v>
      </c>
      <c r="H26" s="138">
        <v>50000</v>
      </c>
      <c r="I26" s="138">
        <v>50000</v>
      </c>
      <c r="J26" s="203">
        <f t="shared" ref="J26:L27" si="36">I26</f>
        <v>50000</v>
      </c>
      <c r="K26" s="138">
        <f t="shared" si="36"/>
        <v>50000</v>
      </c>
      <c r="L26" s="263">
        <f t="shared" si="36"/>
        <v>50000</v>
      </c>
      <c r="M26" s="263">
        <v>0</v>
      </c>
      <c r="N26" s="203">
        <f>M26</f>
        <v>0</v>
      </c>
      <c r="O26" s="263">
        <v>0</v>
      </c>
      <c r="P26" s="263">
        <v>0</v>
      </c>
      <c r="Q26" s="263">
        <v>0</v>
      </c>
      <c r="R26" s="203">
        <f>Q26</f>
        <v>0</v>
      </c>
      <c r="S26" s="263">
        <v>0</v>
      </c>
      <c r="T26" s="263">
        <v>0</v>
      </c>
      <c r="U26" s="263">
        <v>0</v>
      </c>
      <c r="V26" s="203">
        <f>U26</f>
        <v>0</v>
      </c>
      <c r="W26" s="263">
        <v>0</v>
      </c>
      <c r="X26" s="263">
        <v>0</v>
      </c>
      <c r="Y26" s="263">
        <v>0</v>
      </c>
      <c r="Z26" s="203">
        <f>Y26</f>
        <v>0</v>
      </c>
      <c r="AA26" s="263">
        <v>0</v>
      </c>
      <c r="AB26" s="137"/>
      <c r="AC26" s="137"/>
    </row>
    <row r="27" spans="2:31" ht="21" customHeight="1" outlineLevel="1" x14ac:dyDescent="0.25">
      <c r="B27" s="134" t="s">
        <v>222</v>
      </c>
      <c r="C27" s="125"/>
      <c r="D27" s="125"/>
      <c r="E27" s="138">
        <v>50000</v>
      </c>
      <c r="F27" s="138">
        <v>50000</v>
      </c>
      <c r="G27" s="138">
        <v>50000</v>
      </c>
      <c r="H27" s="138">
        <v>50000</v>
      </c>
      <c r="I27" s="138">
        <v>50000</v>
      </c>
      <c r="J27" s="203">
        <f t="shared" si="36"/>
        <v>50000</v>
      </c>
      <c r="K27" s="138">
        <f t="shared" si="36"/>
        <v>50000</v>
      </c>
      <c r="L27" s="263">
        <f t="shared" si="36"/>
        <v>50000</v>
      </c>
      <c r="M27" s="263">
        <f>L27</f>
        <v>50000</v>
      </c>
      <c r="N27" s="203">
        <f>M27</f>
        <v>50000</v>
      </c>
      <c r="O27" s="263">
        <f>N27</f>
        <v>50000</v>
      </c>
      <c r="P27" s="263">
        <f>O27</f>
        <v>50000</v>
      </c>
      <c r="Q27" s="263">
        <f>P27</f>
        <v>50000</v>
      </c>
      <c r="R27" s="203">
        <f>Q27</f>
        <v>50000</v>
      </c>
      <c r="S27" s="263">
        <f>R27</f>
        <v>50000</v>
      </c>
      <c r="T27" s="263">
        <f>S27</f>
        <v>50000</v>
      </c>
      <c r="U27" s="263">
        <f>T27</f>
        <v>50000</v>
      </c>
      <c r="V27" s="203">
        <f>U27</f>
        <v>50000</v>
      </c>
      <c r="W27" s="263">
        <f>V27</f>
        <v>50000</v>
      </c>
      <c r="X27" s="263">
        <f>W27</f>
        <v>50000</v>
      </c>
      <c r="Y27" s="263">
        <f>X27</f>
        <v>50000</v>
      </c>
      <c r="Z27" s="203">
        <f>Y27</f>
        <v>50000</v>
      </c>
      <c r="AA27" s="263">
        <v>50000</v>
      </c>
      <c r="AB27" s="137"/>
      <c r="AC27" s="137"/>
    </row>
    <row r="28" spans="2:31" ht="24" customHeight="1" outlineLevel="1" x14ac:dyDescent="0.25">
      <c r="B28" s="142" t="s">
        <v>97</v>
      </c>
      <c r="C28" s="143"/>
      <c r="D28" s="143"/>
      <c r="E28" s="144">
        <f>SUM(E29:E31)</f>
        <v>33900000</v>
      </c>
      <c r="F28" s="144">
        <f t="shared" ref="F28:I28" si="37">SUM(F29:F31)</f>
        <v>33900000</v>
      </c>
      <c r="G28" s="144">
        <f t="shared" si="37"/>
        <v>33900000</v>
      </c>
      <c r="H28" s="144">
        <f t="shared" si="37"/>
        <v>19500000</v>
      </c>
      <c r="I28" s="144">
        <f t="shared" si="37"/>
        <v>24500000</v>
      </c>
      <c r="J28" s="140">
        <f>SUM(J29:J31)</f>
        <v>24500000</v>
      </c>
      <c r="K28" s="144">
        <f>SUM(K29:K31)</f>
        <v>24500000</v>
      </c>
      <c r="L28" s="260">
        <f t="shared" ref="L28:M28" si="38">SUM(L29:L31)</f>
        <v>24500000</v>
      </c>
      <c r="M28" s="260">
        <f t="shared" si="38"/>
        <v>24550000</v>
      </c>
      <c r="N28" s="140">
        <f>SUM(N29:N31)</f>
        <v>24550000</v>
      </c>
      <c r="O28" s="260">
        <f>SUM(O29:O31)</f>
        <v>24550000</v>
      </c>
      <c r="P28" s="260">
        <f t="shared" ref="P28:Q28" si="39">SUM(P29:P31)</f>
        <v>24550000</v>
      </c>
      <c r="Q28" s="260">
        <f t="shared" si="39"/>
        <v>24550000</v>
      </c>
      <c r="R28" s="140">
        <f>SUM(R29:R31)</f>
        <v>24550000</v>
      </c>
      <c r="S28" s="260">
        <f>SUM(S29:S31)</f>
        <v>24550000</v>
      </c>
      <c r="T28" s="260">
        <f t="shared" ref="T28:U28" si="40">SUM(T29:T31)</f>
        <v>24550000</v>
      </c>
      <c r="U28" s="260">
        <f t="shared" si="40"/>
        <v>24550000</v>
      </c>
      <c r="V28" s="140">
        <f>SUM(V29:V31)</f>
        <v>24550000</v>
      </c>
      <c r="W28" s="260">
        <f>SUM(W29:W31)</f>
        <v>24550000</v>
      </c>
      <c r="X28" s="260">
        <f t="shared" ref="X28:Y28" si="41">SUM(X29:X31)</f>
        <v>24550000</v>
      </c>
      <c r="Y28" s="260">
        <f t="shared" si="41"/>
        <v>24550000</v>
      </c>
      <c r="Z28" s="140">
        <f>SUM(Z29:Z31)</f>
        <v>24550000</v>
      </c>
      <c r="AA28" s="260">
        <f>SUM(AA29:AA31)</f>
        <v>24550000</v>
      </c>
      <c r="AB28" s="137"/>
      <c r="AC28" s="137"/>
    </row>
    <row r="29" spans="2:31" ht="21" customHeight="1" outlineLevel="1" x14ac:dyDescent="0.25">
      <c r="B29" s="134" t="s">
        <v>85</v>
      </c>
      <c r="E29" s="139">
        <v>0</v>
      </c>
      <c r="F29" s="139">
        <v>0</v>
      </c>
      <c r="G29" s="139">
        <v>0</v>
      </c>
      <c r="H29" s="139">
        <v>0</v>
      </c>
      <c r="I29" s="139">
        <v>0</v>
      </c>
      <c r="J29" s="140">
        <v>0</v>
      </c>
      <c r="K29" s="139">
        <v>0</v>
      </c>
      <c r="L29" s="261">
        <v>0</v>
      </c>
      <c r="M29" s="261">
        <v>0</v>
      </c>
      <c r="N29" s="140">
        <f>M29</f>
        <v>0</v>
      </c>
      <c r="O29" s="261">
        <v>0</v>
      </c>
      <c r="P29" s="261">
        <v>0</v>
      </c>
      <c r="Q29" s="261">
        <v>0</v>
      </c>
      <c r="R29" s="140">
        <f>Q29</f>
        <v>0</v>
      </c>
      <c r="S29" s="261">
        <v>0</v>
      </c>
      <c r="T29" s="261">
        <v>0</v>
      </c>
      <c r="U29" s="261">
        <v>0</v>
      </c>
      <c r="V29" s="140">
        <f>U29</f>
        <v>0</v>
      </c>
      <c r="W29" s="261">
        <v>0</v>
      </c>
      <c r="X29" s="261">
        <v>0</v>
      </c>
      <c r="Y29" s="261">
        <v>0</v>
      </c>
      <c r="Z29" s="140">
        <f>Y29</f>
        <v>0</v>
      </c>
      <c r="AA29" s="261">
        <v>0</v>
      </c>
    </row>
    <row r="30" spans="2:31" ht="21" customHeight="1" outlineLevel="1" x14ac:dyDescent="0.25">
      <c r="B30" s="134" t="s">
        <v>101</v>
      </c>
      <c r="E30" s="139">
        <v>20000000</v>
      </c>
      <c r="F30" s="139">
        <v>20000000</v>
      </c>
      <c r="G30" s="139">
        <v>20000000</v>
      </c>
      <c r="H30" s="139">
        <f>20000000-H12</f>
        <v>8600000</v>
      </c>
      <c r="I30" s="139">
        <f>20000000-11400000</f>
        <v>8600000</v>
      </c>
      <c r="J30" s="140">
        <f>20000000-11400000</f>
        <v>8600000</v>
      </c>
      <c r="K30" s="139">
        <f>20000000-11400000</f>
        <v>8600000</v>
      </c>
      <c r="L30" s="261">
        <f t="shared" ref="L30" si="42">20000000-11400000</f>
        <v>8600000</v>
      </c>
      <c r="M30" s="261">
        <f>20000000-11400000</f>
        <v>8600000</v>
      </c>
      <c r="N30" s="140">
        <f>M30</f>
        <v>8600000</v>
      </c>
      <c r="O30" s="261">
        <f>20000000-11400000</f>
        <v>8600000</v>
      </c>
      <c r="P30" s="261">
        <f t="shared" ref="P30:Q30" si="43">20000000-11400000</f>
        <v>8600000</v>
      </c>
      <c r="Q30" s="261">
        <f t="shared" si="43"/>
        <v>8600000</v>
      </c>
      <c r="R30" s="140">
        <f>Q30</f>
        <v>8600000</v>
      </c>
      <c r="S30" s="261">
        <f>20000000-11400000</f>
        <v>8600000</v>
      </c>
      <c r="T30" s="261">
        <f t="shared" ref="T30:U30" si="44">20000000-11400000</f>
        <v>8600000</v>
      </c>
      <c r="U30" s="261">
        <f t="shared" si="44"/>
        <v>8600000</v>
      </c>
      <c r="V30" s="140">
        <f>U30</f>
        <v>8600000</v>
      </c>
      <c r="W30" s="261">
        <f>20000000-11400000</f>
        <v>8600000</v>
      </c>
      <c r="X30" s="261">
        <f t="shared" ref="X30:Y30" si="45">20000000-11400000</f>
        <v>8600000</v>
      </c>
      <c r="Y30" s="261">
        <f t="shared" si="45"/>
        <v>8600000</v>
      </c>
      <c r="Z30" s="140">
        <f>Y30</f>
        <v>8600000</v>
      </c>
      <c r="AA30" s="261">
        <f>20000000-11400000</f>
        <v>8600000</v>
      </c>
    </row>
    <row r="31" spans="2:31" ht="21" customHeight="1" outlineLevel="1" x14ac:dyDescent="0.25">
      <c r="B31" s="134" t="s">
        <v>112</v>
      </c>
      <c r="E31" s="139">
        <f>55000000-E13-E25</f>
        <v>13900000</v>
      </c>
      <c r="F31" s="139">
        <f>55000000-F13-F25</f>
        <v>13900000</v>
      </c>
      <c r="G31" s="139">
        <f t="shared" ref="G31" si="46">55000000-G13-G25</f>
        <v>13900000</v>
      </c>
      <c r="H31" s="139">
        <f>55000000-H13-H25</f>
        <v>10900000</v>
      </c>
      <c r="I31" s="139">
        <f>55000000-I13-I25</f>
        <v>15900000</v>
      </c>
      <c r="J31" s="140">
        <f>55000000-J13-J25</f>
        <v>15900000</v>
      </c>
      <c r="K31" s="139">
        <f>55000000-K13-K25</f>
        <v>15900000</v>
      </c>
      <c r="L31" s="261">
        <f t="shared" ref="L31" si="47">55000000-L13-L25</f>
        <v>15900000</v>
      </c>
      <c r="M31" s="261">
        <f>55000000-M13-M25</f>
        <v>15950000</v>
      </c>
      <c r="N31" s="140">
        <f>55000000-N13-N25</f>
        <v>15950000</v>
      </c>
      <c r="O31" s="261">
        <f>55000000-O13-O25</f>
        <v>15950000</v>
      </c>
      <c r="P31" s="261">
        <f t="shared" ref="P31:Q31" si="48">55000000-P13-P25</f>
        <v>15950000</v>
      </c>
      <c r="Q31" s="261">
        <f t="shared" si="48"/>
        <v>15950000</v>
      </c>
      <c r="R31" s="140">
        <f>55000000-R13-R25</f>
        <v>15950000</v>
      </c>
      <c r="S31" s="261">
        <f>55000000-S13-S25</f>
        <v>15950000</v>
      </c>
      <c r="T31" s="261">
        <f t="shared" ref="T31:U31" si="49">55000000-T13-T25</f>
        <v>15950000</v>
      </c>
      <c r="U31" s="261">
        <f t="shared" si="49"/>
        <v>15950000</v>
      </c>
      <c r="V31" s="140">
        <f>55000000-V13-V25</f>
        <v>15950000</v>
      </c>
      <c r="W31" s="261">
        <f>55000000-W13-W25</f>
        <v>15950000</v>
      </c>
      <c r="X31" s="261">
        <f t="shared" ref="X31:Y31" si="50">55000000-X13-X25</f>
        <v>15950000</v>
      </c>
      <c r="Y31" s="261">
        <f t="shared" si="50"/>
        <v>15950000</v>
      </c>
      <c r="Z31" s="140">
        <f>55000000-Z13-Z25</f>
        <v>15950000</v>
      </c>
      <c r="AA31" s="261">
        <f>55000000-AA13-AA25</f>
        <v>15950000</v>
      </c>
    </row>
    <row r="32" spans="2:31" ht="24" customHeight="1" outlineLevel="1" x14ac:dyDescent="0.25">
      <c r="B32" s="168" t="s">
        <v>118</v>
      </c>
      <c r="E32" s="139"/>
      <c r="F32" s="139"/>
      <c r="G32" s="139"/>
      <c r="H32" s="139"/>
      <c r="I32" s="139"/>
      <c r="J32" s="140"/>
      <c r="K32" s="139"/>
      <c r="L32" s="261"/>
      <c r="M32" s="261"/>
      <c r="N32" s="140"/>
      <c r="O32" s="261"/>
      <c r="P32" s="261"/>
      <c r="Q32" s="261"/>
      <c r="R32" s="140"/>
      <c r="S32" s="261"/>
      <c r="T32" s="261"/>
      <c r="U32" s="261"/>
      <c r="V32" s="140"/>
      <c r="W32" s="261"/>
      <c r="X32" s="261"/>
      <c r="Y32" s="261"/>
      <c r="Z32" s="140"/>
      <c r="AA32" s="261"/>
    </row>
    <row r="33" spans="2:27" ht="21" customHeight="1" outlineLevel="1" x14ac:dyDescent="0.3">
      <c r="B33" s="145" t="s">
        <v>113</v>
      </c>
      <c r="C33" s="146"/>
      <c r="D33" s="146"/>
      <c r="E33" s="147">
        <v>80000000</v>
      </c>
      <c r="F33" s="147">
        <v>80000000</v>
      </c>
      <c r="G33" s="147">
        <v>80000000</v>
      </c>
      <c r="H33" s="147">
        <v>80000000</v>
      </c>
      <c r="I33" s="147">
        <v>80000000</v>
      </c>
      <c r="J33" s="148">
        <v>80000000</v>
      </c>
      <c r="K33" s="147">
        <v>80000000</v>
      </c>
      <c r="L33" s="264">
        <v>80000000</v>
      </c>
      <c r="M33" s="264">
        <v>80000000</v>
      </c>
      <c r="N33" s="148">
        <v>80000000</v>
      </c>
      <c r="O33" s="264">
        <v>80000000</v>
      </c>
      <c r="P33" s="264">
        <v>80000000</v>
      </c>
      <c r="Q33" s="264">
        <v>80000000</v>
      </c>
      <c r="R33" s="148">
        <v>80000000</v>
      </c>
      <c r="S33" s="264">
        <v>80000000</v>
      </c>
      <c r="T33" s="264">
        <v>80000000</v>
      </c>
      <c r="U33" s="264">
        <v>80000000</v>
      </c>
      <c r="V33" s="148">
        <v>80000000</v>
      </c>
      <c r="W33" s="264">
        <v>80000000</v>
      </c>
      <c r="X33" s="264">
        <v>80000000</v>
      </c>
      <c r="Y33" s="264">
        <v>80000000</v>
      </c>
      <c r="Z33" s="148">
        <v>80000000</v>
      </c>
      <c r="AA33" s="264">
        <v>80000000</v>
      </c>
    </row>
    <row r="34" spans="2:27" ht="21" customHeight="1" outlineLevel="1" x14ac:dyDescent="0.3">
      <c r="B34" s="145" t="s">
        <v>117</v>
      </c>
      <c r="C34" s="146"/>
      <c r="D34" s="146"/>
      <c r="E34" s="267">
        <f>E10/190900000</f>
        <v>0.68557802147721314</v>
      </c>
      <c r="F34" s="267">
        <f t="shared" ref="F34:G34" si="51">F10/190900000</f>
        <v>0.68480650665269782</v>
      </c>
      <c r="G34" s="267">
        <f t="shared" si="51"/>
        <v>0.68406441094814041</v>
      </c>
      <c r="H34" s="267">
        <f>H10/(190900000+26300000)</f>
        <v>0.66679068098526717</v>
      </c>
      <c r="I34" s="267">
        <f>I10/(190900000+26300000)</f>
        <v>0.64308357297421737</v>
      </c>
      <c r="J34" s="201">
        <f>J10/(190900000+26300000)</f>
        <v>0.64308357297421737</v>
      </c>
      <c r="K34" s="267">
        <f>K10/(190900000+26300000)</f>
        <v>0.64234448609576422</v>
      </c>
      <c r="L34" s="265">
        <f t="shared" ref="L34" si="52">L10/(190900000+26300000)</f>
        <v>0.64153625962246774</v>
      </c>
      <c r="M34" s="265">
        <f>M10/(190900000+26300000)</f>
        <v>0.6406602181399631</v>
      </c>
      <c r="N34" s="201">
        <f>N10/(190900000+26300000)</f>
        <v>0.6406602181399631</v>
      </c>
      <c r="O34" s="265">
        <f>O10/(190900000+26300000)</f>
        <v>0.63993220405156537</v>
      </c>
      <c r="P34" s="265">
        <f t="shared" ref="P34:Q34" si="53">P10/(190900000+26300000)</f>
        <v>0.63905892983425416</v>
      </c>
      <c r="Q34" s="265">
        <f t="shared" si="53"/>
        <v>0.63826901289134452</v>
      </c>
      <c r="R34" s="201">
        <f>R10/(190900000+26300000)</f>
        <v>0.63826901289134452</v>
      </c>
      <c r="S34" s="265">
        <f>S10/(190900000+26300000)</f>
        <v>0.63750774125230203</v>
      </c>
      <c r="T34" s="265">
        <f t="shared" ref="T34:U34" si="54">T10/(190900000+26300000)</f>
        <v>0.63664736662062615</v>
      </c>
      <c r="U34" s="265">
        <f t="shared" si="54"/>
        <v>0.63584721436464087</v>
      </c>
      <c r="V34" s="201">
        <f>V10/(190900000+26300000)</f>
        <v>0.63584721436464087</v>
      </c>
      <c r="W34" s="265">
        <f>W10/(190900000+26300000)</f>
        <v>0.6350436605432781</v>
      </c>
      <c r="X34" s="265">
        <f>X10/(190900000+26300000)</f>
        <v>0.63420493595764271</v>
      </c>
      <c r="Y34" s="265">
        <f t="shared" ref="Y34" si="55">Y10/(190900000+26300000)</f>
        <v>0.63345783047882132</v>
      </c>
      <c r="Z34" s="201">
        <f>Z10/(190900000+26300000)</f>
        <v>0.63345783047882132</v>
      </c>
      <c r="AA34" s="265">
        <f>AA10/(190900000+26300000)</f>
        <v>0.63345783047882132</v>
      </c>
    </row>
    <row r="35" spans="2:27" ht="24" customHeight="1" outlineLevel="1" x14ac:dyDescent="0.25">
      <c r="B35" s="246" t="s">
        <v>216</v>
      </c>
      <c r="C35" s="226"/>
      <c r="D35" s="226"/>
      <c r="E35" s="226"/>
      <c r="F35" s="226"/>
      <c r="G35" s="226"/>
      <c r="H35" s="226"/>
      <c r="I35" s="226"/>
      <c r="J35" s="140"/>
      <c r="K35" s="226"/>
      <c r="L35" s="266"/>
      <c r="M35" s="266"/>
      <c r="N35" s="140"/>
      <c r="O35" s="266"/>
      <c r="P35" s="266"/>
      <c r="Q35" s="266"/>
      <c r="R35" s="140"/>
      <c r="S35" s="266"/>
      <c r="T35" s="266"/>
      <c r="U35" s="266"/>
      <c r="V35" s="140"/>
      <c r="W35" s="266"/>
      <c r="X35" s="266"/>
      <c r="Y35" s="266"/>
      <c r="Z35" s="140"/>
      <c r="AA35" s="266"/>
    </row>
    <row r="36" spans="2:27" ht="21" customHeight="1" outlineLevel="1" x14ac:dyDescent="0.25">
      <c r="B36" s="252" t="s">
        <v>237</v>
      </c>
      <c r="C36" s="253"/>
      <c r="D36" s="253"/>
      <c r="E36" s="139">
        <f>SUM('BNC-A'!I18:I29)-SUM('TD-A'!J18:J29)+SUM('BMO-A'!H10:H21)</f>
        <v>1853084.8200000022</v>
      </c>
      <c r="F36" s="139">
        <f>SUM('BNC-A'!I19:I30)-SUM('TD-A'!J19:J30)+SUM('BMO-A'!H11:H22)</f>
        <v>1860921.9700000063</v>
      </c>
      <c r="G36" s="139">
        <f>SUM('BNC-A'!I20:I31)-SUM('TD-A'!J20:J31)+SUM('BMO-A'!H12:H23)</f>
        <v>1875031.8100000061</v>
      </c>
      <c r="H36" s="139">
        <f>SUM('BNC-A'!I21:I32)-SUM('TD-A'!J21:J32)+SUM('BMO-A'!H13:H24)+SUM('Dettes - CORRA'!M12:M22)</f>
        <v>2077623.8200000066</v>
      </c>
      <c r="I36" s="139">
        <f>SUM('BNC-A'!I22:I33)-SUM('TD-A'!J22:J33)+SUM('BMO-A'!H14:H25)+SUM('Dettes - CORRA'!M12:M23)</f>
        <v>2090711.2700000049</v>
      </c>
      <c r="J36" s="140">
        <f>I36</f>
        <v>2090711.2700000049</v>
      </c>
      <c r="K36" s="139">
        <f>SUM('BNC-A'!I23:I34)-SUM('TD-A'!J23:J34)+SUM('BMO-A'!H15:H26)+SUM('Dettes - CORRA'!M13:M24)</f>
        <v>2127548.0600000028</v>
      </c>
      <c r="L36" s="261">
        <f>SUM('BNC-A'!I24:I35)-SUM('TD-A'!J24:J35)+SUM('BMO-A'!H16:H27)+SUM('Dettes - CORRA'!M14:M25)</f>
        <v>2129574.5599999973</v>
      </c>
      <c r="M36" s="261">
        <f>SUM('BNC-A'!I25:I36)-SUM('TD-A'!J25:J36)+SUM('BMO-A'!H17:H28)+SUM('Dettes - CORRA'!M15:M26)</f>
        <v>2138176.620000001</v>
      </c>
      <c r="N36" s="140">
        <f>M36</f>
        <v>2138176.620000001</v>
      </c>
      <c r="O36" s="261">
        <f>SUM('Dettes - CORRA'!H16:H27)+SUM('Dettes - CORRA'!M16:M27)</f>
        <v>2152390.7899999991</v>
      </c>
      <c r="P36" s="261">
        <f>SUM('Dettes - CORRA'!H17:H28)+SUM('Dettes - CORRA'!M17:M28)</f>
        <v>2156268.3800000013</v>
      </c>
      <c r="Q36" s="261">
        <f>SUM('Dettes - CORRA'!H18:H29)+SUM('Dettes - CORRA'!M18:M29)</f>
        <v>2165426.6300000004</v>
      </c>
      <c r="R36" s="140">
        <f>Q36</f>
        <v>2165426.6300000004</v>
      </c>
      <c r="S36" s="261">
        <f>SUM('Dettes - CORRA'!H19:H30)+SUM('Dettes - CORRA'!M19:M30)</f>
        <v>2181572.9299999974</v>
      </c>
      <c r="T36" s="261">
        <f>SUM('Dettes - CORRA'!H20:H31)+SUM('Dettes - CORRA'!M20:M31)</f>
        <v>2183751.1000000015</v>
      </c>
      <c r="U36" s="261">
        <f>SUM('Dettes - CORRA'!H21:H32)+SUM('Dettes - CORRA'!M21:M32)</f>
        <v>2179482.879999999</v>
      </c>
      <c r="V36" s="140">
        <f>U36</f>
        <v>2179482.879999999</v>
      </c>
      <c r="W36" s="261">
        <f>SUM('Dettes - CORRA'!H22:H33)+SUM('Dettes - CORRA'!M22:M33)</f>
        <v>2209022.6399999992</v>
      </c>
      <c r="X36" s="261">
        <f>SUM('Dettes - CORRA'!H23:H34)+SUM('Dettes - CORRA'!M23:M34)</f>
        <v>2211508.3399999989</v>
      </c>
      <c r="Y36" s="261">
        <f>SUM('Dettes - CORRA'!H24:H35,'Dettes - CORRA'!M24:M35)</f>
        <v>2217328.6199999964</v>
      </c>
      <c r="Z36" s="140">
        <f>Y36</f>
        <v>2217328.6199999964</v>
      </c>
      <c r="AA36" s="261">
        <f>SUM('Dettes - CORRA'!H24:H35,'Dettes - CORRA'!M24:M35)</f>
        <v>2217328.6199999964</v>
      </c>
    </row>
    <row r="37" spans="2:27" ht="21" customHeight="1" outlineLevel="1" x14ac:dyDescent="0.25">
      <c r="B37" s="252" t="s">
        <v>226</v>
      </c>
      <c r="C37" s="253"/>
      <c r="D37" s="253"/>
      <c r="E37" s="139">
        <f>SUM('Dettes - CORRA'!H8:H67)</f>
        <v>10275874.259999996</v>
      </c>
      <c r="F37" s="139">
        <f>SUM('Dettes - CORRA'!H9:H68)</f>
        <v>10322576.219999997</v>
      </c>
      <c r="G37" s="139">
        <f>SUM('Dettes - CORRA'!H10:H69)</f>
        <v>10375707.309999999</v>
      </c>
      <c r="H37" s="139">
        <f>SUM('Dettes - CORRA'!H11:H70)+SUM('Dettes - CORRA'!M12:M70)</f>
        <v>11414460.720000003</v>
      </c>
      <c r="I37" s="139">
        <f>SUM('Dettes - CORRA'!H12:H71)+SUM('Dettes - CORRA'!M12:M71)</f>
        <v>11478692.289999997</v>
      </c>
      <c r="J37" s="140">
        <f>I37</f>
        <v>11478692.289999997</v>
      </c>
      <c r="K37" s="139">
        <f>SUM('Dettes - CORRA'!H13:H72)+SUM('Dettes - CORRA'!M13:M72)</f>
        <v>11532475.269999998</v>
      </c>
      <c r="L37" s="261">
        <f>SUM('Dettes - CORRA'!H14:H73)+SUM('Dettes - CORRA'!M14:M73)</f>
        <v>11572142.109999996</v>
      </c>
      <c r="M37" s="261">
        <f>SUM('Dettes - CORRA'!H15:H74)+SUM('Dettes - CORRA'!M15:M74)</f>
        <v>11597984.329999994</v>
      </c>
      <c r="N37" s="140">
        <f>M37</f>
        <v>11597984.329999994</v>
      </c>
      <c r="O37" s="261">
        <f>SUM('Dettes - CORRA'!H16:H75)+SUM('Dettes - CORRA'!M16:M75)</f>
        <v>11656886.67999999</v>
      </c>
      <c r="P37" s="261">
        <f>SUM('Dettes - CORRA'!H17:H76)+SUM('Dettes - CORRA'!M17:M76)</f>
        <v>11685150.959999995</v>
      </c>
      <c r="Q37" s="261">
        <f>SUM('Dettes - CORRA'!H18:H77)+SUM('Dettes - CORRA'!M18:M77)</f>
        <v>11732436.719999991</v>
      </c>
      <c r="R37" s="140">
        <f>Q37</f>
        <v>11732436.719999991</v>
      </c>
      <c r="S37" s="261">
        <f>SUM('Dettes - CORRA'!H19:H78)+SUM('Dettes - CORRA'!M19:M78)</f>
        <v>11786864.36999999</v>
      </c>
      <c r="T37" s="261">
        <f>SUM('Dettes - CORRA'!H20:H79)+SUM('Dettes - CORRA'!M20:M79)</f>
        <v>11820690.839999994</v>
      </c>
      <c r="U37" s="261">
        <f>SUM('Dettes - CORRA'!H21:H80)+SUM('Dettes - CORRA'!M21:M80)</f>
        <v>11868525.499999991</v>
      </c>
      <c r="V37" s="140">
        <f>U37</f>
        <v>11868525.499999991</v>
      </c>
      <c r="W37" s="261">
        <f>SUM('Dettes - CORRA'!H22:H81)+SUM('Dettes - CORRA'!M22:M81)</f>
        <v>11916553.149999985</v>
      </c>
      <c r="X37" s="261">
        <f>SUM('Dettes - CORRA'!H23:H82)+SUM('Dettes - CORRA'!M23:M82)</f>
        <v>11957877.439999986</v>
      </c>
      <c r="Y37" s="261">
        <f>SUM('Dettes - CORRA'!H24:H83,'Dettes - CORRA'!M24:M83)</f>
        <v>12020041.069999995</v>
      </c>
      <c r="Z37" s="140">
        <f>Y37</f>
        <v>12020041.069999995</v>
      </c>
      <c r="AA37" s="261">
        <f>SUM('Dettes - CORRA'!H24:H83,'Dettes - CORRA'!M24:M83)</f>
        <v>12020041.069999995</v>
      </c>
    </row>
    <row r="38" spans="2:27" ht="21" customHeight="1" outlineLevel="1" x14ac:dyDescent="0.25">
      <c r="B38" s="246" t="s">
        <v>254</v>
      </c>
      <c r="C38" s="226"/>
      <c r="D38" s="226"/>
      <c r="E38" s="226"/>
      <c r="F38" s="226"/>
      <c r="G38" s="226"/>
      <c r="H38" s="226"/>
      <c r="I38" s="226"/>
      <c r="J38" s="140"/>
      <c r="K38" s="226"/>
      <c r="L38" s="266"/>
      <c r="M38" s="266"/>
      <c r="N38" s="140"/>
      <c r="O38" s="266"/>
      <c r="P38" s="266"/>
      <c r="Q38" s="266"/>
      <c r="R38" s="140"/>
      <c r="S38" s="266"/>
      <c r="T38" s="266"/>
      <c r="U38" s="266"/>
      <c r="V38" s="140"/>
      <c r="W38" s="266"/>
      <c r="X38" s="266"/>
      <c r="Y38" s="266"/>
      <c r="Z38" s="140"/>
      <c r="AA38" s="266"/>
    </row>
    <row r="39" spans="2:27" ht="21" customHeight="1" outlineLevel="1" x14ac:dyDescent="0.25">
      <c r="B39" s="252" t="s">
        <v>237</v>
      </c>
      <c r="C39" s="253"/>
      <c r="D39" s="253"/>
      <c r="E39" s="139" cm="1">
        <f t="array" ref="E39">SUM('Dettes - CORRA'!I8:I19,'Dettes - CORRA'!N8:N19,'Dettes - CORRA'!S8:S19)-SUM(-'BNC-A'!G18:G29,-'BNC-A'!J18:J29,'TD-A'!O18:O29,'BMO-A'!M10:M21)</f>
        <v>6900663.1745875617</v>
      </c>
      <c r="F39" s="139" cm="1">
        <f t="array" ref="F39">SUM('Dettes - CORRA'!I9:I20,'Dettes - CORRA'!N9:N20,'Dettes - CORRA'!S9:S20)-SUM(-'BNC-A'!G19:G30,-'BNC-A'!J19:J30,'TD-A'!O19:O30,'BMO-A'!M11:M22)</f>
        <v>7012131.1390692675</v>
      </c>
      <c r="G39" s="139" cm="1">
        <f t="array" ref="G39">SUM('Dettes - CORRA'!I10:I21,'Dettes - CORRA'!N10:N21,'Dettes - CORRA'!S10:S21)-SUM(-'BNC-A'!G20:G31,-'BNC-A'!J20:J31,'TD-A'!O20:O31,'BMO-A'!M12:M23)</f>
        <v>7011008.4022157853</v>
      </c>
      <c r="H39" s="139" cm="1">
        <f t="array" ref="H39">SUM('Dettes - CORRA'!I11:I22,'Dettes - CORRA'!N11:N22,'Dettes - CORRA'!S11:S22)-SUM(-'BNC-A'!G21:G32,-'BNC-A'!J21:J32,'TD-A'!O21:O32,'BMO-A'!M13:M24)</f>
        <v>7035805.6378267128</v>
      </c>
      <c r="I39" s="139" cm="1">
        <f t="array" ref="I39">SUM('Dettes - CORRA'!I12:I23,'Dettes - CORRA'!N12:N23,'Dettes - CORRA'!S12:S23)-SUM(-'BNC-A'!G22:G33,-'BNC-A'!J22:J33,'TD-A'!O22:O33,'BMO-A'!M14:M25)</f>
        <v>7024388.7046553697</v>
      </c>
      <c r="J39" s="140">
        <f>I39</f>
        <v>7024388.7046553697</v>
      </c>
      <c r="K39" s="139" cm="1">
        <f t="array" ref="K39">SUM('Dettes - CORRA'!I13:I24,'Dettes - CORRA'!N13:N24,'Dettes - CORRA'!S13:S24)-SUM(-'BNC-A'!G23:G34,-'BNC-A'!J23:J34,'TD-A'!O23:O34,'BMO-A'!M15:M26)-SUM(-'BNC-B'!G19:G30,'TD-B'!O18:O29,'BMO-B'!M11:M22)</f>
        <v>7007449.2892249571</v>
      </c>
      <c r="L39" s="261" cm="1">
        <f t="array" ref="L39">SUM('Dettes - CORRA'!I14:I25,'Dettes - CORRA'!N14:N25,'Dettes - CORRA'!S14:S25)-SUM(-'BNC-A'!G24:G35,-'BNC-A'!J24:J35,'TD-A'!O24:O35,'BMO-A'!M16:M27)-SUM(-'BNC-B'!G20:G31,'TD-B'!O19:O30,'BMO-B'!M12:M23)</f>
        <v>7007245.9829093711</v>
      </c>
      <c r="M39" s="261" cm="1">
        <f t="array" ref="M39">SUM('Dettes - CORRA'!I15:I26,'Dettes - CORRA'!N15:N26,'Dettes - CORRA'!S15:S26)-SUM(-'BNC-A'!G25:G36,-'BNC-A'!J25:J36,'TD-A'!O25:O36,'BMO-A'!M17:M28)-SUM(-'BNC-B'!G21:G32,'TD-B'!O20:O31,'BMO-B'!M13:M24)</f>
        <v>6994994.0085547604</v>
      </c>
      <c r="N39" s="140">
        <f>M39</f>
        <v>6994994.0085547604</v>
      </c>
      <c r="O39" s="261" cm="1">
        <f t="array" ref="O39">SUM('Dettes - CORRA'!I16:I27,'Dettes - CORRA'!N16:N27,'Dettes - CORRA'!S16:S27)-SUM(-'BNC-A'!G26:G37,-'BNC-A'!J26:J37,'TD-A'!O26:O37,'BMO-A'!M18:M29)-SUM(-'BNC-B'!G22:G33,'TD-B'!O21:O32,'BMO-B'!M14:M25)</f>
        <v>6967314.8173320498</v>
      </c>
      <c r="P39" s="261" cm="1">
        <f t="array" ref="P39">SUM('Dettes - CORRA'!I17:I28,'Dettes - CORRA'!N17:N28,'Dettes - CORRA'!S17:S28)-SUM(-'BNC-A'!G27:G38,-'BNC-A'!J27:J38,'TD-A'!O27:O38,'BMO-A'!M19:M30)-SUM(-'BNC-B'!G23:G34,'TD-B'!O22:O33,'BMO-B'!M15:M26)</f>
        <v>6971469.7514844472</v>
      </c>
      <c r="Q39" s="261" cm="1">
        <f t="array" ref="Q39">SUM('Dettes - CORRA'!I18:I29,'Dettes - CORRA'!N18:N29,'Dettes - CORRA'!S18:S29)-SUM(-'BNC-A'!G28:G39,-'BNC-A'!J28:J39,'TD-A'!O28:O39,'BMO-A'!M20:M31)-SUM(-'BNC-B'!G24:G35,'TD-B'!O23:O34,'BMO-B'!M16:M27)</f>
        <v>6961677.1784124998</v>
      </c>
      <c r="R39" s="140">
        <f>Q39</f>
        <v>6961677.1784124998</v>
      </c>
      <c r="S39" s="261" cm="1">
        <f t="array" ref="S39">SUM('Dettes - CORRA'!I19:I30,'Dettes - CORRA'!N19:N30,'Dettes - CORRA'!S19:S30)-SUM(-'BNC-A'!G29:G40,-'BNC-A'!J29:J40,'TD-A'!O29:O40,'BMO-A'!M21:M32)-SUM(-'BNC-B'!G25:G36,'TD-B'!O24:O35,'BMO-B'!M17:M28)</f>
        <v>6938003.8179906737</v>
      </c>
      <c r="T39" s="261" cm="1">
        <f t="array" ref="T39">SUM('Dettes - CORRA'!I20:I31,'Dettes - CORRA'!N20:N31,'Dettes - CORRA'!S20:S31)-SUM(-'BNC-A'!G30:G41,-'BNC-A'!J30:J41,'TD-A'!O30:O41,'BMO-A'!M22:M33)-SUM(-'BNC-B'!G26:G37,'TD-B'!O25:O36,'BMO-B'!M18:M29)</f>
        <v>6943298.7133228472</v>
      </c>
      <c r="U39" s="261" cm="1">
        <f t="array" ref="U39">SUM('Dettes - CORRA'!I21:I32,'Dettes - CORRA'!N21:N32,'Dettes - CORRA'!S21:S32)-SUM(-'BNC-A'!G31:G42,-'BNC-A'!J31:J42,'TD-A'!O31:O42,'BMO-A'!M23:M34)-SUM(-'BNC-B'!G27:G38,'TD-B'!O26:O37,'BMO-B'!M19:M30)</f>
        <v>6962378.9174155369</v>
      </c>
      <c r="V39" s="140">
        <f>U39</f>
        <v>6962378.9174155369</v>
      </c>
      <c r="W39" s="261" cm="1">
        <f t="array" ref="W39">SUM('Dettes - CORRA'!I22:I33,'Dettes - CORRA'!N22:N33,'Dettes - CORRA'!S22:S33)-SUM(-'BNC-A'!G32:G43,-'BNC-A'!J32:J43,'TD-A'!O32:O43,'BMO-A'!M24:M35)-SUM(-'BNC-B'!G28:G39,'TD-B'!O27:O38,'BMO-B'!M20:M31)</f>
        <v>6910513.5239618067</v>
      </c>
      <c r="X39" s="261" cm="1">
        <f t="array" ref="X39">SUM('Dettes - CORRA'!I23:I34,'Dettes - CORRA'!N23:N34,'Dettes - CORRA'!S23:S34)-SUM(-'BNC-A'!G33:G44,-'BNC-A'!J33:J44,'TD-A'!O33:O44,'BMO-A'!M25:M36)-SUM(-'BNC-B'!G29:G40,'TD-B'!O28:O39,'BMO-B'!M21:M32)</f>
        <v>6915447.7735734852</v>
      </c>
      <c r="Y39" s="261" cm="1">
        <f t="array" ref="Y39">SUM('Dettes - CORRA'!I24:I35,'Dettes - CORRA'!N24:N35,'Dettes - CORRA'!S24:S35)-SUM(-'BNC-A'!G34:G45,-'BNC-A'!J34:J45,'TD-A'!O34:O45,'BMO-A'!M26:M37)-SUM(-'BNC-B'!G30:G41,'TD-B'!O29:O40,'BMO-B'!M22:M33)</f>
        <v>6905626.0647704899</v>
      </c>
      <c r="Z39" s="140">
        <f>Y39</f>
        <v>6905626.0647704899</v>
      </c>
      <c r="AA39" s="261" cm="1">
        <f t="array" ref="AA39">SUM('Dettes - CORRA'!I24:I35,'Dettes - CORRA'!N24:N35,'Dettes - CORRA'!S24:S35)-SUM(-'BNC-A'!G34:G45,-'BNC-A'!J34:J45,'TD-A'!O34:O45,'BMO-A'!M26:M37)-SUM(-'BNC-B'!G30:G41,'TD-B'!O29:O40,'BMO-B'!M22:M33)</f>
        <v>6905626.0647704899</v>
      </c>
    </row>
    <row r="40" spans="2:27" ht="21" customHeight="1" x14ac:dyDescent="0.25">
      <c r="B40" s="142" t="s">
        <v>260</v>
      </c>
      <c r="C40" s="253"/>
      <c r="D40" s="253"/>
      <c r="E40" s="357">
        <f>E15-E18+E22</f>
        <v>629665.99821917852</v>
      </c>
      <c r="F40" s="357">
        <f>F15-F18+F22</f>
        <v>474021.60003446473</v>
      </c>
      <c r="G40" s="357">
        <f>G15-G18+G22</f>
        <v>608435.57897101727</v>
      </c>
      <c r="H40" s="357">
        <f t="shared" ref="H40:AA40" si="56">H15-H18+H22</f>
        <v>546132.62179379538</v>
      </c>
      <c r="I40" s="357">
        <f t="shared" si="56"/>
        <v>673928.77531591104</v>
      </c>
      <c r="J40" s="140">
        <f t="shared" si="56"/>
        <v>1828496.9760807236</v>
      </c>
      <c r="K40" s="357">
        <f>K15-K18+K22</f>
        <v>615955.38257376081</v>
      </c>
      <c r="L40" s="358">
        <f t="shared" si="56"/>
        <v>587564.57387970516</v>
      </c>
      <c r="M40" s="358">
        <f t="shared" si="56"/>
        <v>555950.41239119472</v>
      </c>
      <c r="N40" s="140">
        <f t="shared" si="56"/>
        <v>1759470.3688446609</v>
      </c>
      <c r="O40" s="358">
        <f t="shared" si="56"/>
        <v>643398.14770681609</v>
      </c>
      <c r="P40" s="358">
        <f t="shared" si="56"/>
        <v>552326.72140301659</v>
      </c>
      <c r="Q40" s="358">
        <f t="shared" si="56"/>
        <v>593983.78694487992</v>
      </c>
      <c r="R40" s="140">
        <f t="shared" si="56"/>
        <v>1789708.6560547128</v>
      </c>
      <c r="S40" s="358">
        <f>S15-S18+S22</f>
        <v>622949.63234239479</v>
      </c>
      <c r="T40" s="358">
        <f t="shared" si="56"/>
        <v>563131.71845311113</v>
      </c>
      <c r="U40" s="358">
        <f t="shared" si="56"/>
        <v>591161.14238159335</v>
      </c>
      <c r="V40" s="140">
        <f t="shared" ref="V40" si="57">V15-V18+V22</f>
        <v>1777242.4931770994</v>
      </c>
      <c r="W40" s="358">
        <f t="shared" si="56"/>
        <v>606450.09435759916</v>
      </c>
      <c r="X40" s="358">
        <f t="shared" si="56"/>
        <v>575308.47395200748</v>
      </c>
      <c r="Y40" s="358">
        <f t="shared" si="56"/>
        <v>642596.4873697072</v>
      </c>
      <c r="Z40" s="140">
        <f t="shared" si="56"/>
        <v>1824355.0556793138</v>
      </c>
      <c r="AA40" s="358">
        <f t="shared" si="56"/>
        <v>7150776.5737557868</v>
      </c>
    </row>
    <row r="41" spans="2:27" ht="21" customHeight="1" x14ac:dyDescent="0.25">
      <c r="B41" s="252"/>
      <c r="C41" s="253"/>
      <c r="D41" s="253"/>
      <c r="E41" s="139"/>
      <c r="F41" s="139"/>
      <c r="G41" s="139"/>
      <c r="H41" s="139"/>
      <c r="I41" s="139"/>
      <c r="J41" s="144"/>
      <c r="K41" s="139"/>
      <c r="L41" s="139"/>
      <c r="M41" s="139"/>
      <c r="N41" s="144"/>
      <c r="O41" s="139"/>
      <c r="P41" s="139"/>
      <c r="Q41" s="139"/>
      <c r="R41" s="144"/>
      <c r="S41" s="144"/>
      <c r="T41" s="144"/>
      <c r="U41" s="144"/>
      <c r="V41" s="144"/>
      <c r="W41" s="144"/>
      <c r="X41" s="144"/>
      <c r="Y41" s="144"/>
      <c r="Z41" s="144"/>
      <c r="AA41" s="139"/>
    </row>
    <row r="42" spans="2:27" ht="21" customHeight="1" x14ac:dyDescent="0.25">
      <c r="B42" s="151" t="s">
        <v>136</v>
      </c>
      <c r="K42" s="355"/>
      <c r="M42" s="356"/>
      <c r="N42" s="226"/>
      <c r="O42" s="355"/>
      <c r="Q42" s="356"/>
      <c r="R42" s="226"/>
      <c r="S42" s="226"/>
      <c r="T42" s="226"/>
      <c r="U42" s="226"/>
      <c r="V42" s="226"/>
      <c r="W42" s="226"/>
      <c r="X42" s="226"/>
      <c r="Y42" s="226"/>
      <c r="Z42" s="226"/>
    </row>
    <row r="43" spans="2:27" x14ac:dyDescent="0.25">
      <c r="B43" s="151" t="s">
        <v>114</v>
      </c>
      <c r="K43" s="355"/>
      <c r="L43" s="124"/>
      <c r="M43" s="356"/>
      <c r="N43" s="226"/>
      <c r="O43" s="355"/>
      <c r="P43" s="124"/>
      <c r="Q43" s="356"/>
      <c r="R43" s="226"/>
      <c r="S43" s="226"/>
      <c r="T43" s="226"/>
      <c r="U43" s="226"/>
      <c r="V43" s="226"/>
      <c r="W43" s="226"/>
      <c r="X43" s="226"/>
      <c r="Y43" s="226"/>
      <c r="Z43" s="226"/>
    </row>
    <row r="44" spans="2:27" x14ac:dyDescent="0.25">
      <c r="B44" s="151"/>
      <c r="K44" s="355"/>
      <c r="L44" s="124"/>
      <c r="M44" s="356"/>
      <c r="N44" s="226"/>
      <c r="O44" s="355"/>
      <c r="Q44" s="356"/>
      <c r="R44" s="226"/>
      <c r="S44" s="226"/>
      <c r="T44" s="226"/>
      <c r="U44" s="226"/>
      <c r="V44" s="226"/>
      <c r="W44" s="226"/>
      <c r="X44" s="226"/>
      <c r="Y44" s="226"/>
      <c r="Z44" s="226"/>
    </row>
    <row r="45" spans="2:27" x14ac:dyDescent="0.25">
      <c r="B45" s="151" t="s">
        <v>224</v>
      </c>
      <c r="K45" s="355"/>
      <c r="M45" s="356"/>
      <c r="N45" s="226"/>
      <c r="O45" s="355"/>
      <c r="Q45" s="356"/>
      <c r="R45" s="226"/>
      <c r="S45" s="226"/>
      <c r="T45" s="226"/>
      <c r="U45" s="226"/>
      <c r="V45" s="226"/>
      <c r="W45" s="226"/>
      <c r="X45" s="226"/>
      <c r="Y45" s="226"/>
      <c r="Z45" s="226"/>
    </row>
    <row r="46" spans="2:27" x14ac:dyDescent="0.25">
      <c r="B46" s="151" t="s">
        <v>225</v>
      </c>
      <c r="K46" s="355"/>
      <c r="L46" s="124"/>
      <c r="M46" s="356"/>
      <c r="N46" s="226"/>
      <c r="O46" s="355"/>
      <c r="Q46" s="356"/>
      <c r="R46" s="226"/>
      <c r="S46" s="226"/>
      <c r="T46" s="226"/>
      <c r="U46" s="226"/>
      <c r="V46" s="226"/>
      <c r="W46" s="226"/>
      <c r="X46" s="226"/>
      <c r="Y46" s="226"/>
      <c r="Z46" s="226"/>
    </row>
    <row r="47" spans="2:27" x14ac:dyDescent="0.25">
      <c r="K47" s="355"/>
      <c r="L47" s="124"/>
      <c r="M47" s="356"/>
      <c r="N47" s="226"/>
      <c r="O47" s="355"/>
      <c r="Q47" s="356"/>
      <c r="R47" s="226"/>
      <c r="S47" s="226"/>
      <c r="T47" s="226"/>
      <c r="U47" s="226"/>
      <c r="V47" s="226"/>
      <c r="W47" s="226"/>
      <c r="X47" s="226"/>
      <c r="Y47" s="226"/>
      <c r="Z47" s="226"/>
    </row>
    <row r="48" spans="2:27" x14ac:dyDescent="0.25">
      <c r="K48" s="355"/>
      <c r="M48" s="356"/>
      <c r="N48" s="226"/>
      <c r="O48" s="355"/>
      <c r="Q48" s="356"/>
      <c r="R48" s="226"/>
      <c r="S48" s="226"/>
      <c r="T48" s="226"/>
      <c r="U48" s="226"/>
      <c r="V48" s="226"/>
      <c r="W48" s="226"/>
      <c r="X48" s="226"/>
      <c r="Y48" s="226"/>
      <c r="Z48" s="226"/>
    </row>
    <row r="49" spans="11:26" x14ac:dyDescent="0.25">
      <c r="K49" s="355"/>
      <c r="M49" s="356"/>
      <c r="N49" s="226"/>
      <c r="O49" s="355"/>
      <c r="Q49" s="356"/>
      <c r="R49" s="226"/>
      <c r="S49" s="226"/>
      <c r="T49" s="226"/>
      <c r="U49" s="226"/>
      <c r="V49" s="226"/>
      <c r="W49" s="226"/>
      <c r="X49" s="226"/>
      <c r="Y49" s="226"/>
      <c r="Z49" s="226"/>
    </row>
    <row r="50" spans="11:26" x14ac:dyDescent="0.25">
      <c r="K50" s="355"/>
      <c r="L50" s="124"/>
      <c r="M50" s="356"/>
      <c r="N50" s="226"/>
      <c r="O50" s="355"/>
      <c r="Q50" s="356"/>
      <c r="R50" s="226"/>
      <c r="S50" s="226"/>
      <c r="T50" s="226"/>
      <c r="U50" s="226"/>
      <c r="V50" s="226"/>
      <c r="W50" s="226"/>
      <c r="X50" s="226"/>
      <c r="Y50" s="226"/>
      <c r="Z50" s="226"/>
    </row>
    <row r="51" spans="11:26" x14ac:dyDescent="0.25">
      <c r="K51" s="355"/>
      <c r="M51" s="356"/>
      <c r="N51" s="226"/>
      <c r="O51" s="355"/>
      <c r="Q51" s="356"/>
      <c r="R51" s="226"/>
      <c r="S51" s="226"/>
      <c r="T51" s="226"/>
      <c r="U51" s="226"/>
      <c r="V51" s="226"/>
      <c r="W51" s="226"/>
      <c r="X51" s="226"/>
      <c r="Y51" s="226"/>
      <c r="Z51" s="226"/>
    </row>
    <row r="52" spans="11:26" x14ac:dyDescent="0.25">
      <c r="K52" s="355"/>
      <c r="M52" s="356"/>
      <c r="N52" s="226"/>
      <c r="O52" s="355"/>
      <c r="Q52" s="356"/>
      <c r="R52" s="226"/>
      <c r="S52" s="226"/>
      <c r="T52" s="226"/>
      <c r="U52" s="226"/>
      <c r="V52" s="226"/>
      <c r="W52" s="226"/>
      <c r="X52" s="226"/>
      <c r="Y52" s="226"/>
      <c r="Z52" s="226"/>
    </row>
    <row r="53" spans="11:26" x14ac:dyDescent="0.25">
      <c r="K53" s="355"/>
      <c r="L53" s="124"/>
      <c r="M53" s="356"/>
      <c r="N53" s="226"/>
      <c r="O53" s="355"/>
      <c r="Q53" s="356"/>
      <c r="R53" s="226"/>
      <c r="S53" s="226"/>
      <c r="T53" s="226"/>
      <c r="U53" s="226"/>
      <c r="V53" s="226"/>
      <c r="W53" s="226"/>
      <c r="X53" s="226"/>
      <c r="Y53" s="226"/>
      <c r="Z53" s="226"/>
    </row>
    <row r="55" spans="11:26" x14ac:dyDescent="0.25">
      <c r="M55" s="124"/>
    </row>
    <row r="56" spans="11:26" x14ac:dyDescent="0.25">
      <c r="M56" s="356"/>
    </row>
  </sheetData>
  <pageMargins left="0.25" right="0.25" top="0.75" bottom="0.75" header="0.3" footer="0.3"/>
  <pageSetup paperSize="8" scale="49" fitToWidth="0"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74812-2C46-4AD3-9C45-3AAD479E1522}">
  <dimension ref="B2:S34"/>
  <sheetViews>
    <sheetView workbookViewId="0">
      <selection activeCell="R12" sqref="R12"/>
    </sheetView>
  </sheetViews>
  <sheetFormatPr baseColWidth="10" defaultRowHeight="13.2" x14ac:dyDescent="0.25"/>
  <cols>
    <col min="1" max="1" width="6.88671875" customWidth="1"/>
    <col min="2" max="2" width="17.21875" customWidth="1"/>
    <col min="3" max="3" width="18.5546875" bestFit="1" customWidth="1"/>
    <col min="4" max="4" width="7.21875" customWidth="1"/>
    <col min="5" max="5" width="13.88671875" bestFit="1" customWidth="1"/>
    <col min="6" max="6" width="16.5546875" customWidth="1"/>
    <col min="7" max="7" width="17.33203125" customWidth="1"/>
    <col min="8" max="8" width="16.109375" bestFit="1" customWidth="1"/>
    <col min="9" max="9" width="13.44140625" bestFit="1" customWidth="1"/>
    <col min="11" max="11" width="20" customWidth="1"/>
    <col min="12" max="12" width="18.109375" bestFit="1" customWidth="1"/>
    <col min="13" max="13" width="16.109375" bestFit="1" customWidth="1"/>
    <col min="14" max="14" width="17.109375" bestFit="1" customWidth="1"/>
    <col min="15" max="15" width="7.21875" customWidth="1"/>
    <col min="16" max="16" width="12.109375" bestFit="1" customWidth="1"/>
    <col min="18" max="18" width="13.6640625" bestFit="1" customWidth="1"/>
    <col min="19" max="19" width="15.44140625" bestFit="1" customWidth="1"/>
  </cols>
  <sheetData>
    <row r="2" spans="2:19" x14ac:dyDescent="0.25">
      <c r="B2" s="40" t="s">
        <v>29</v>
      </c>
      <c r="C2" s="42"/>
    </row>
    <row r="3" spans="2:19" x14ac:dyDescent="0.25">
      <c r="B3" s="43" t="s">
        <v>30</v>
      </c>
      <c r="C3" s="45">
        <v>0.03</v>
      </c>
    </row>
    <row r="4" spans="2:19" x14ac:dyDescent="0.25">
      <c r="B4" s="46" t="s">
        <v>31</v>
      </c>
      <c r="C4" s="48">
        <v>2.2954700000000001E-2</v>
      </c>
      <c r="E4" s="359"/>
      <c r="G4" s="360"/>
    </row>
    <row r="5" spans="2:19" ht="13.8" thickBot="1" x14ac:dyDescent="0.3">
      <c r="B5" s="50" t="s">
        <v>32</v>
      </c>
      <c r="C5" s="176">
        <f>C3+C4</f>
        <v>5.29547E-2</v>
      </c>
    </row>
    <row r="6" spans="2:19" ht="13.8" thickTop="1" x14ac:dyDescent="0.25">
      <c r="B6" s="50" t="s">
        <v>33</v>
      </c>
      <c r="C6" s="53">
        <f>C34</f>
        <v>46413</v>
      </c>
    </row>
    <row r="7" spans="2:19" x14ac:dyDescent="0.25">
      <c r="B7" s="55" t="s">
        <v>34</v>
      </c>
      <c r="C7" s="57">
        <v>300</v>
      </c>
    </row>
    <row r="8" spans="2:19" x14ac:dyDescent="0.25">
      <c r="N8" s="280" t="s">
        <v>227</v>
      </c>
      <c r="O8" s="280"/>
      <c r="P8" s="280"/>
    </row>
    <row r="9" spans="2:19" ht="39.6" x14ac:dyDescent="0.25">
      <c r="B9" s="109" t="s">
        <v>56</v>
      </c>
      <c r="C9" s="110" t="s">
        <v>7</v>
      </c>
      <c r="D9" s="109" t="s">
        <v>57</v>
      </c>
      <c r="E9" s="109" t="s">
        <v>58</v>
      </c>
      <c r="F9" s="109" t="s">
        <v>59</v>
      </c>
      <c r="G9" s="109" t="s">
        <v>60</v>
      </c>
      <c r="H9" s="109" t="s">
        <v>61</v>
      </c>
      <c r="I9" s="109" t="s">
        <v>62</v>
      </c>
      <c r="J9" s="109" t="s">
        <v>63</v>
      </c>
      <c r="K9" s="109" t="s">
        <v>116</v>
      </c>
      <c r="L9" s="109" t="s">
        <v>217</v>
      </c>
      <c r="M9" s="109" t="s">
        <v>218</v>
      </c>
      <c r="N9" s="109" t="s">
        <v>45</v>
      </c>
      <c r="O9" s="109" t="s">
        <v>57</v>
      </c>
      <c r="P9" s="109" t="s">
        <v>8</v>
      </c>
    </row>
    <row r="10" spans="2:19" x14ac:dyDescent="0.25">
      <c r="B10" s="113">
        <v>45674</v>
      </c>
      <c r="C10" s="111">
        <v>45683</v>
      </c>
      <c r="D10" s="112">
        <f>IF(B11="","",C10-B10)-1</f>
        <v>8</v>
      </c>
      <c r="E10" s="111">
        <v>45684</v>
      </c>
      <c r="F10" s="122">
        <f>H10+I10</f>
        <v>5567.59</v>
      </c>
      <c r="G10" s="122">
        <v>1900000</v>
      </c>
      <c r="H10" s="122">
        <v>3052.24</v>
      </c>
      <c r="I10" s="122">
        <v>2515.35</v>
      </c>
      <c r="J10" s="118">
        <f>$C$5</f>
        <v>5.29547E-2</v>
      </c>
      <c r="K10" s="116">
        <v>4.6580509999999999E-2</v>
      </c>
      <c r="L10" s="121">
        <f>G10*(K10+$C$4)*D10/365</f>
        <v>2895.7128547945208</v>
      </c>
      <c r="M10" s="121">
        <f>L10-I10</f>
        <v>380.3628547945209</v>
      </c>
      <c r="N10" s="117">
        <v>45688</v>
      </c>
      <c r="O10" s="112">
        <f t="shared" ref="O10:O34" si="0">N10-C10+1</f>
        <v>6</v>
      </c>
      <c r="P10" s="122">
        <f>-IF(K10="","",ROUND(G10*($C$3-K10)*O10/365,2))</f>
        <v>517.86</v>
      </c>
      <c r="R10" s="123"/>
      <c r="S10" s="295"/>
    </row>
    <row r="11" spans="2:19" x14ac:dyDescent="0.25">
      <c r="B11" s="117">
        <v>45683</v>
      </c>
      <c r="C11" s="111">
        <v>45714</v>
      </c>
      <c r="D11" s="112">
        <v>30</v>
      </c>
      <c r="E11" s="111">
        <v>45714</v>
      </c>
      <c r="F11" s="122">
        <f t="shared" ref="F11:F34" si="1">H11+I11</f>
        <v>11436.73</v>
      </c>
      <c r="G11" s="122">
        <v>1896947.76</v>
      </c>
      <c r="H11" s="122">
        <v>3065.71</v>
      </c>
      <c r="I11" s="122">
        <v>8371.02</v>
      </c>
      <c r="J11" s="118">
        <f t="shared" ref="J11:J34" si="2">$C$5</f>
        <v>5.29547E-2</v>
      </c>
      <c r="K11" s="254">
        <f>'Dettes - CORRA'!E13</f>
        <v>3.0750366666666671E-2</v>
      </c>
      <c r="L11" s="121">
        <f t="shared" ref="L11:L33" si="3">G11*(K11+$C$4)*D11/365</f>
        <v>8373.3456915603292</v>
      </c>
      <c r="M11" s="121">
        <f t="shared" ref="M11:M33" si="4">L11-I11</f>
        <v>2.325691560328778</v>
      </c>
      <c r="N11" s="117">
        <v>45716</v>
      </c>
      <c r="O11" s="112">
        <f t="shared" si="0"/>
        <v>3</v>
      </c>
      <c r="P11" s="122">
        <f t="shared" ref="P11:P33" si="5">-IF(K11="","",ROUND(G11*($C$3-K11)*O11/365,2))</f>
        <v>11.7</v>
      </c>
      <c r="R11" s="124"/>
      <c r="S11" s="295"/>
    </row>
    <row r="12" spans="2:19" x14ac:dyDescent="0.25">
      <c r="B12" s="117">
        <v>45714</v>
      </c>
      <c r="C12" s="111">
        <v>45742</v>
      </c>
      <c r="D12" s="112">
        <v>30</v>
      </c>
      <c r="E12" s="111">
        <v>45742</v>
      </c>
      <c r="F12" s="122">
        <f t="shared" si="1"/>
        <v>11436.74</v>
      </c>
      <c r="G12" s="122">
        <v>1893882.05</v>
      </c>
      <c r="H12" s="122">
        <v>3079.24</v>
      </c>
      <c r="I12" s="122">
        <v>8357.5</v>
      </c>
      <c r="J12" s="118">
        <f t="shared" si="2"/>
        <v>5.29547E-2</v>
      </c>
      <c r="K12" s="254">
        <f>'Dettes - CORRA'!E14</f>
        <v>2.9333700000000004E-2</v>
      </c>
      <c r="L12" s="121">
        <f t="shared" si="3"/>
        <v>8139.2927821824669</v>
      </c>
      <c r="M12" s="121">
        <f t="shared" si="4"/>
        <v>-218.20721781753309</v>
      </c>
      <c r="N12" s="117">
        <v>45747</v>
      </c>
      <c r="O12" s="112">
        <f t="shared" si="0"/>
        <v>6</v>
      </c>
      <c r="P12" s="122">
        <f t="shared" si="5"/>
        <v>-20.74</v>
      </c>
      <c r="S12" s="295"/>
    </row>
    <row r="13" spans="2:19" x14ac:dyDescent="0.25">
      <c r="B13" s="117">
        <v>45742</v>
      </c>
      <c r="C13" s="111">
        <v>45773</v>
      </c>
      <c r="D13" s="112">
        <v>30</v>
      </c>
      <c r="E13" s="111">
        <v>45775</v>
      </c>
      <c r="F13" s="122">
        <f t="shared" si="1"/>
        <v>11436.73</v>
      </c>
      <c r="G13" s="122">
        <v>1890802.82</v>
      </c>
      <c r="H13" s="122">
        <v>3092.82</v>
      </c>
      <c r="I13" s="122">
        <v>8343.91</v>
      </c>
      <c r="J13" s="118">
        <f t="shared" si="2"/>
        <v>5.29547E-2</v>
      </c>
      <c r="K13" s="254">
        <f>'Dettes - CORRA'!E15</f>
        <v>2.7174609090909095E-2</v>
      </c>
      <c r="L13" s="121">
        <f t="shared" si="3"/>
        <v>7790.5182734582913</v>
      </c>
      <c r="M13" s="121">
        <f t="shared" si="4"/>
        <v>-553.39172654170852</v>
      </c>
      <c r="N13" s="117">
        <v>45777</v>
      </c>
      <c r="O13" s="112">
        <f t="shared" si="0"/>
        <v>5</v>
      </c>
      <c r="P13" s="122">
        <f t="shared" si="5"/>
        <v>-73.180000000000007</v>
      </c>
      <c r="R13" s="123"/>
      <c r="S13" s="295"/>
    </row>
    <row r="14" spans="2:19" x14ac:dyDescent="0.25">
      <c r="B14" s="117">
        <v>45773</v>
      </c>
      <c r="C14" s="111">
        <v>45803</v>
      </c>
      <c r="D14" s="112">
        <v>30</v>
      </c>
      <c r="E14" s="111">
        <v>45803</v>
      </c>
      <c r="F14" s="122">
        <f t="shared" si="1"/>
        <v>11436.73</v>
      </c>
      <c r="G14" s="122">
        <v>1887709.99</v>
      </c>
      <c r="H14" s="122">
        <v>3106.47</v>
      </c>
      <c r="I14" s="122">
        <v>8330.26</v>
      </c>
      <c r="J14" s="118">
        <f t="shared" si="2"/>
        <v>5.29547E-2</v>
      </c>
      <c r="K14" s="254">
        <f>'Dettes - CORRA'!E16</f>
        <v>2.5583700000000015E-2</v>
      </c>
      <c r="L14" s="121">
        <f t="shared" si="3"/>
        <v>7530.9388420780288</v>
      </c>
      <c r="M14" s="121">
        <f t="shared" si="4"/>
        <v>-799.32115792197146</v>
      </c>
      <c r="N14" s="117">
        <v>45808</v>
      </c>
      <c r="O14" s="112">
        <f t="shared" si="0"/>
        <v>6</v>
      </c>
      <c r="P14" s="122">
        <f t="shared" si="5"/>
        <v>-137.04</v>
      </c>
      <c r="S14" s="295"/>
    </row>
    <row r="15" spans="2:19" x14ac:dyDescent="0.25">
      <c r="B15" s="117">
        <v>45803</v>
      </c>
      <c r="C15" s="111">
        <v>45834</v>
      </c>
      <c r="D15" s="112">
        <v>30</v>
      </c>
      <c r="E15" s="111">
        <v>45834</v>
      </c>
      <c r="F15" s="122">
        <f t="shared" si="1"/>
        <v>11436.73</v>
      </c>
      <c r="G15" s="122">
        <v>1884603.52</v>
      </c>
      <c r="H15" s="122">
        <v>3120.18</v>
      </c>
      <c r="I15" s="122">
        <v>8316.5499999999993</v>
      </c>
      <c r="J15" s="118">
        <f t="shared" si="2"/>
        <v>5.29547E-2</v>
      </c>
      <c r="K15" s="254">
        <f>'Dettes - CORRA'!E17</f>
        <v>2.3809506451612915E-2</v>
      </c>
      <c r="L15" s="121">
        <f t="shared" si="3"/>
        <v>7243.7250483876505</v>
      </c>
      <c r="M15" s="121">
        <f t="shared" si="4"/>
        <v>-1072.8249516123487</v>
      </c>
      <c r="N15" s="117">
        <v>45838</v>
      </c>
      <c r="O15" s="112">
        <f t="shared" si="0"/>
        <v>5</v>
      </c>
      <c r="P15" s="122">
        <f t="shared" si="5"/>
        <v>-159.82</v>
      </c>
      <c r="R15" s="123"/>
      <c r="S15" s="295"/>
    </row>
    <row r="16" spans="2:19" x14ac:dyDescent="0.25">
      <c r="B16" s="117">
        <v>45834</v>
      </c>
      <c r="C16" s="111">
        <v>45864</v>
      </c>
      <c r="D16" s="112">
        <v>30</v>
      </c>
      <c r="E16" s="111">
        <v>45866</v>
      </c>
      <c r="F16" s="122">
        <f t="shared" si="1"/>
        <v>11436.73</v>
      </c>
      <c r="G16" s="122">
        <v>1881483.34</v>
      </c>
      <c r="H16" s="122">
        <v>3133.95</v>
      </c>
      <c r="I16" s="122">
        <v>8302.7800000000007</v>
      </c>
      <c r="J16" s="118">
        <f t="shared" si="2"/>
        <v>5.29547E-2</v>
      </c>
      <c r="K16" s="254">
        <f>'Dettes - CORRA'!E18</f>
        <v>2.3083700000000013E-2</v>
      </c>
      <c r="L16" s="121">
        <f t="shared" si="3"/>
        <v>7119.4917205689881</v>
      </c>
      <c r="M16" s="121">
        <f t="shared" si="4"/>
        <v>-1183.2882794310126</v>
      </c>
      <c r="N16" s="117">
        <v>45869</v>
      </c>
      <c r="O16" s="112">
        <f t="shared" si="0"/>
        <v>6</v>
      </c>
      <c r="P16" s="122">
        <f t="shared" si="5"/>
        <v>-213.91</v>
      </c>
      <c r="S16" s="295"/>
    </row>
    <row r="17" spans="2:19" x14ac:dyDescent="0.25">
      <c r="B17" s="117">
        <v>45864</v>
      </c>
      <c r="C17" s="111">
        <v>45895</v>
      </c>
      <c r="D17" s="112">
        <v>30</v>
      </c>
      <c r="E17" s="111">
        <v>45895</v>
      </c>
      <c r="F17" s="122">
        <f t="shared" si="1"/>
        <v>11436.730000000001</v>
      </c>
      <c r="G17" s="122">
        <v>1878349.39</v>
      </c>
      <c r="H17" s="122">
        <v>3147.78</v>
      </c>
      <c r="I17" s="122">
        <v>8288.9500000000007</v>
      </c>
      <c r="J17" s="118">
        <f t="shared" si="2"/>
        <v>5.29547E-2</v>
      </c>
      <c r="K17" s="254">
        <f>'Dettes - CORRA'!E19</f>
        <v>2.3083700000000019E-2</v>
      </c>
      <c r="L17" s="121">
        <f t="shared" si="3"/>
        <v>7107.6329224583042</v>
      </c>
      <c r="M17" s="121">
        <f t="shared" si="4"/>
        <v>-1181.3170775416966</v>
      </c>
      <c r="N17" s="117">
        <v>45900</v>
      </c>
      <c r="O17" s="112">
        <f t="shared" si="0"/>
        <v>6</v>
      </c>
      <c r="P17" s="122">
        <f t="shared" si="5"/>
        <v>-213.55</v>
      </c>
      <c r="S17" s="295"/>
    </row>
    <row r="18" spans="2:19" x14ac:dyDescent="0.25">
      <c r="B18" s="117">
        <v>45895</v>
      </c>
      <c r="C18" s="111">
        <v>45926</v>
      </c>
      <c r="D18" s="112">
        <v>30</v>
      </c>
      <c r="E18" s="111">
        <v>45926</v>
      </c>
      <c r="F18" s="122">
        <f t="shared" si="1"/>
        <v>11436.73</v>
      </c>
      <c r="G18" s="122">
        <v>1875201.61</v>
      </c>
      <c r="H18" s="122">
        <v>3161.67</v>
      </c>
      <c r="I18" s="122">
        <v>8275.06</v>
      </c>
      <c r="J18" s="118">
        <f t="shared" si="2"/>
        <v>5.29547E-2</v>
      </c>
      <c r="K18" s="254">
        <f>'Dettes - CORRA'!E20</f>
        <v>2.3083700000000013E-2</v>
      </c>
      <c r="L18" s="121">
        <f t="shared" si="3"/>
        <v>7095.7217919307432</v>
      </c>
      <c r="M18" s="121">
        <f t="shared" si="4"/>
        <v>-1179.3382080692563</v>
      </c>
      <c r="N18" s="117">
        <v>45930</v>
      </c>
      <c r="O18" s="112">
        <f t="shared" si="0"/>
        <v>5</v>
      </c>
      <c r="P18" s="122">
        <f t="shared" si="5"/>
        <v>-177.66</v>
      </c>
      <c r="S18" s="295"/>
    </row>
    <row r="19" spans="2:19" x14ac:dyDescent="0.25">
      <c r="B19" s="117">
        <v>45926</v>
      </c>
      <c r="C19" s="111">
        <v>45956</v>
      </c>
      <c r="D19" s="112">
        <v>30</v>
      </c>
      <c r="E19" s="111">
        <v>45957</v>
      </c>
      <c r="F19" s="122">
        <f t="shared" si="1"/>
        <v>11436.73</v>
      </c>
      <c r="G19" s="122">
        <v>1872039.93</v>
      </c>
      <c r="H19" s="122">
        <v>3175.62</v>
      </c>
      <c r="I19" s="122">
        <v>8261.11</v>
      </c>
      <c r="J19" s="118">
        <f t="shared" si="2"/>
        <v>5.29547E-2</v>
      </c>
      <c r="K19" s="254">
        <f>'Dettes - CORRA'!E21</f>
        <v>2.3083700000000013E-2</v>
      </c>
      <c r="L19" s="121">
        <f t="shared" si="3"/>
        <v>7083.7580641078384</v>
      </c>
      <c r="M19" s="121">
        <f t="shared" si="4"/>
        <v>-1177.3519358921621</v>
      </c>
      <c r="N19" s="117">
        <v>45961</v>
      </c>
      <c r="O19" s="112">
        <f t="shared" si="0"/>
        <v>6</v>
      </c>
      <c r="P19" s="122">
        <f t="shared" si="5"/>
        <v>-212.84</v>
      </c>
      <c r="S19" s="295"/>
    </row>
    <row r="20" spans="2:19" x14ac:dyDescent="0.25">
      <c r="B20" s="117">
        <v>45956</v>
      </c>
      <c r="C20" s="111">
        <v>45987</v>
      </c>
      <c r="D20" s="112">
        <v>30</v>
      </c>
      <c r="E20" s="111">
        <v>45987</v>
      </c>
      <c r="F20" s="122">
        <f t="shared" si="1"/>
        <v>11436.74</v>
      </c>
      <c r="G20" s="122">
        <v>1868864.31</v>
      </c>
      <c r="H20" s="122">
        <v>3189.64</v>
      </c>
      <c r="I20" s="122">
        <v>8247.1</v>
      </c>
      <c r="J20" s="118">
        <f t="shared" si="2"/>
        <v>5.29547E-2</v>
      </c>
      <c r="K20" s="254">
        <f>'Dettes - CORRA'!E22</f>
        <v>2.3083700000000019E-2</v>
      </c>
      <c r="L20" s="121">
        <f t="shared" si="3"/>
        <v>7071.7415876304694</v>
      </c>
      <c r="M20" s="121">
        <f t="shared" si="4"/>
        <v>-1175.3584123695309</v>
      </c>
      <c r="N20" s="117">
        <v>45991</v>
      </c>
      <c r="O20" s="112">
        <f t="shared" si="0"/>
        <v>5</v>
      </c>
      <c r="P20" s="122">
        <f t="shared" si="5"/>
        <v>-177.06</v>
      </c>
      <c r="S20" s="295"/>
    </row>
    <row r="21" spans="2:19" x14ac:dyDescent="0.25">
      <c r="B21" s="117">
        <v>45987</v>
      </c>
      <c r="C21" s="111">
        <v>46017</v>
      </c>
      <c r="D21" s="112">
        <v>30</v>
      </c>
      <c r="E21" s="111">
        <v>46020</v>
      </c>
      <c r="F21" s="122">
        <f t="shared" si="1"/>
        <v>11436.73</v>
      </c>
      <c r="G21" s="122">
        <v>1865674.67</v>
      </c>
      <c r="H21" s="122">
        <v>3203.71</v>
      </c>
      <c r="I21" s="122">
        <v>8233.02</v>
      </c>
      <c r="J21" s="118">
        <f t="shared" si="2"/>
        <v>5.29547E-2</v>
      </c>
      <c r="K21" s="254">
        <f>'Dettes - CORRA'!E23</f>
        <v>2.3083700000000013E-2</v>
      </c>
      <c r="L21" s="121">
        <f t="shared" si="3"/>
        <v>7059.672059780386</v>
      </c>
      <c r="M21" s="121">
        <f t="shared" si="4"/>
        <v>-1173.3479402196144</v>
      </c>
      <c r="N21" s="117">
        <v>46022</v>
      </c>
      <c r="O21" s="112">
        <f t="shared" si="0"/>
        <v>6</v>
      </c>
      <c r="P21" s="122">
        <f t="shared" si="5"/>
        <v>-212.11</v>
      </c>
      <c r="S21" s="295"/>
    </row>
    <row r="22" spans="2:19" x14ac:dyDescent="0.25">
      <c r="B22" s="117">
        <v>46017</v>
      </c>
      <c r="C22" s="111">
        <v>46048</v>
      </c>
      <c r="D22" s="112">
        <v>30</v>
      </c>
      <c r="E22" s="111">
        <v>46048</v>
      </c>
      <c r="F22" s="122">
        <f t="shared" si="1"/>
        <v>11436.73</v>
      </c>
      <c r="G22" s="122">
        <v>1862470.96</v>
      </c>
      <c r="H22" s="122">
        <v>3217.85</v>
      </c>
      <c r="I22" s="122">
        <v>8218.8799999999992</v>
      </c>
      <c r="J22" s="118">
        <f t="shared" si="2"/>
        <v>5.29547E-2</v>
      </c>
      <c r="K22" s="254">
        <f>'Dettes - CORRA'!E24</f>
        <v>2.3083700000000023E-2</v>
      </c>
      <c r="L22" s="121">
        <f t="shared" si="3"/>
        <v>7047.5492913586877</v>
      </c>
      <c r="M22" s="121">
        <f t="shared" si="4"/>
        <v>-1171.3307086413115</v>
      </c>
      <c r="N22" s="117">
        <v>46053</v>
      </c>
      <c r="O22" s="112">
        <f t="shared" si="0"/>
        <v>6</v>
      </c>
      <c r="P22" s="122">
        <f t="shared" si="5"/>
        <v>-211.75</v>
      </c>
      <c r="S22" s="295"/>
    </row>
    <row r="23" spans="2:19" x14ac:dyDescent="0.25">
      <c r="B23" s="117">
        <v>46048</v>
      </c>
      <c r="C23" s="111">
        <v>46079</v>
      </c>
      <c r="D23" s="112">
        <v>30</v>
      </c>
      <c r="E23" s="111">
        <v>46079</v>
      </c>
      <c r="F23" s="122">
        <f t="shared" si="1"/>
        <v>11436.73</v>
      </c>
      <c r="G23" s="122">
        <v>1859253.11</v>
      </c>
      <c r="H23" s="122">
        <v>3232.05</v>
      </c>
      <c r="I23" s="122">
        <v>8204.68</v>
      </c>
      <c r="J23" s="118">
        <f t="shared" si="2"/>
        <v>5.29547E-2</v>
      </c>
      <c r="K23" s="254">
        <f>'Dettes - CORRA'!E25</f>
        <v>2.3083700000000013E-2</v>
      </c>
      <c r="L23" s="121">
        <f t="shared" si="3"/>
        <v>7035.373017486907</v>
      </c>
      <c r="M23" s="121">
        <f t="shared" si="4"/>
        <v>-1169.3069825130933</v>
      </c>
      <c r="N23" s="117">
        <v>46081</v>
      </c>
      <c r="O23" s="112">
        <f t="shared" si="0"/>
        <v>3</v>
      </c>
      <c r="P23" s="122">
        <f t="shared" si="5"/>
        <v>-105.69</v>
      </c>
      <c r="S23" s="295"/>
    </row>
    <row r="24" spans="2:19" x14ac:dyDescent="0.25">
      <c r="B24" s="117">
        <v>46079</v>
      </c>
      <c r="C24" s="111">
        <v>46107</v>
      </c>
      <c r="D24" s="112">
        <v>30</v>
      </c>
      <c r="E24" s="111">
        <v>46107</v>
      </c>
      <c r="F24" s="122">
        <f t="shared" si="1"/>
        <v>11436.73</v>
      </c>
      <c r="G24" s="122">
        <v>1856021.06</v>
      </c>
      <c r="H24" s="122">
        <v>3246.31</v>
      </c>
      <c r="I24" s="122">
        <v>8190.42</v>
      </c>
      <c r="J24" s="118">
        <f t="shared" si="2"/>
        <v>5.29547E-2</v>
      </c>
      <c r="K24" s="254">
        <f>'Dettes - CORRA'!E26</f>
        <v>2.3083700000000023E-2</v>
      </c>
      <c r="L24" s="121">
        <f t="shared" si="3"/>
        <v>7023.1430111263599</v>
      </c>
      <c r="M24" s="121">
        <f t="shared" si="4"/>
        <v>-1167.2769888736402</v>
      </c>
      <c r="N24" s="117">
        <v>46112</v>
      </c>
      <c r="O24" s="112">
        <f t="shared" si="0"/>
        <v>6</v>
      </c>
      <c r="P24" s="122">
        <f t="shared" si="5"/>
        <v>-211.02</v>
      </c>
      <c r="S24" s="295"/>
    </row>
    <row r="25" spans="2:19" x14ac:dyDescent="0.25">
      <c r="B25" s="117">
        <v>46107</v>
      </c>
      <c r="C25" s="111">
        <v>46138</v>
      </c>
      <c r="D25" s="112">
        <v>30</v>
      </c>
      <c r="E25" s="111">
        <v>46139</v>
      </c>
      <c r="F25" s="122">
        <f t="shared" si="1"/>
        <v>11436.73</v>
      </c>
      <c r="G25" s="122">
        <v>1852774.75</v>
      </c>
      <c r="H25" s="122">
        <v>3260.64</v>
      </c>
      <c r="I25" s="122">
        <v>8176.09</v>
      </c>
      <c r="J25" s="118">
        <f t="shared" si="2"/>
        <v>5.29547E-2</v>
      </c>
      <c r="K25" s="254">
        <f>'Dettes - CORRA'!E27</f>
        <v>2.3083700000000013E-2</v>
      </c>
      <c r="L25" s="121">
        <f t="shared" si="3"/>
        <v>7010.8590452383578</v>
      </c>
      <c r="M25" s="121">
        <f t="shared" si="4"/>
        <v>-1165.2309547616424</v>
      </c>
      <c r="N25" s="117">
        <v>46142</v>
      </c>
      <c r="O25" s="112">
        <f t="shared" si="0"/>
        <v>5</v>
      </c>
      <c r="P25" s="122">
        <f t="shared" si="5"/>
        <v>-175.54</v>
      </c>
      <c r="S25" s="356"/>
    </row>
    <row r="26" spans="2:19" x14ac:dyDescent="0.25">
      <c r="B26" s="117">
        <v>46138</v>
      </c>
      <c r="C26" s="111">
        <v>46168</v>
      </c>
      <c r="D26" s="112">
        <v>30</v>
      </c>
      <c r="E26" s="111">
        <v>46168</v>
      </c>
      <c r="F26" s="122">
        <f t="shared" si="1"/>
        <v>11436.74</v>
      </c>
      <c r="G26" s="122">
        <v>1849514.11</v>
      </c>
      <c r="H26" s="122">
        <v>3275.03</v>
      </c>
      <c r="I26" s="122">
        <v>8161.71</v>
      </c>
      <c r="J26" s="118">
        <f t="shared" si="2"/>
        <v>5.29547E-2</v>
      </c>
      <c r="K26" s="254">
        <f>'Dettes - CORRA'!E28</f>
        <v>2.3083700000000019E-2</v>
      </c>
      <c r="L26" s="121">
        <f t="shared" si="3"/>
        <v>6998.5208549444424</v>
      </c>
      <c r="M26" s="121">
        <f t="shared" si="4"/>
        <v>-1163.1891450555577</v>
      </c>
      <c r="N26" s="117">
        <v>46173</v>
      </c>
      <c r="O26" s="112">
        <f t="shared" si="0"/>
        <v>6</v>
      </c>
      <c r="P26" s="122">
        <f t="shared" si="5"/>
        <v>-210.28</v>
      </c>
    </row>
    <row r="27" spans="2:19" x14ac:dyDescent="0.25">
      <c r="B27" s="117">
        <v>46168</v>
      </c>
      <c r="C27" s="111">
        <v>46199</v>
      </c>
      <c r="D27" s="112">
        <v>30</v>
      </c>
      <c r="E27" s="111">
        <v>46199</v>
      </c>
      <c r="F27" s="122">
        <f t="shared" si="1"/>
        <v>11436.73</v>
      </c>
      <c r="G27" s="122">
        <v>1846239.08</v>
      </c>
      <c r="H27" s="122">
        <v>3289.48</v>
      </c>
      <c r="I27" s="122">
        <v>8147.25</v>
      </c>
      <c r="J27" s="118">
        <f t="shared" si="2"/>
        <v>5.29547E-2</v>
      </c>
      <c r="K27" s="254">
        <f>'Dettes - CORRA'!E29</f>
        <v>2.3083700000000013E-2</v>
      </c>
      <c r="L27" s="121">
        <f t="shared" si="3"/>
        <v>6986.1282132059205</v>
      </c>
      <c r="M27" s="121">
        <f t="shared" si="4"/>
        <v>-1161.1217867940795</v>
      </c>
      <c r="N27" s="117">
        <v>46203</v>
      </c>
      <c r="O27" s="112">
        <f t="shared" si="0"/>
        <v>5</v>
      </c>
      <c r="P27" s="122">
        <f t="shared" si="5"/>
        <v>-174.92</v>
      </c>
    </row>
    <row r="28" spans="2:19" x14ac:dyDescent="0.25">
      <c r="B28" s="117">
        <v>46199</v>
      </c>
      <c r="C28" s="111">
        <v>46229</v>
      </c>
      <c r="D28" s="112">
        <v>30</v>
      </c>
      <c r="E28" s="111">
        <v>46230</v>
      </c>
      <c r="F28" s="122">
        <f t="shared" si="1"/>
        <v>11436.74</v>
      </c>
      <c r="G28" s="122">
        <v>1842949.6</v>
      </c>
      <c r="H28" s="122">
        <v>3304</v>
      </c>
      <c r="I28" s="122">
        <v>8132.74</v>
      </c>
      <c r="J28" s="118">
        <f t="shared" si="2"/>
        <v>5.29547E-2</v>
      </c>
      <c r="K28" s="254">
        <f>'Dettes - CORRA'!E30</f>
        <v>2.3083700000000019E-2</v>
      </c>
      <c r="L28" s="121">
        <f t="shared" si="3"/>
        <v>6973.6808929841136</v>
      </c>
      <c r="M28" s="121">
        <f t="shared" si="4"/>
        <v>-1159.0591070158862</v>
      </c>
      <c r="N28" s="117">
        <v>46234</v>
      </c>
      <c r="O28" s="112">
        <f t="shared" si="0"/>
        <v>6</v>
      </c>
      <c r="P28" s="122">
        <f t="shared" si="5"/>
        <v>-209.53</v>
      </c>
    </row>
    <row r="29" spans="2:19" x14ac:dyDescent="0.25">
      <c r="B29" s="117">
        <v>46229</v>
      </c>
      <c r="C29" s="111">
        <v>46260</v>
      </c>
      <c r="D29" s="112">
        <v>30</v>
      </c>
      <c r="E29" s="111">
        <v>46260</v>
      </c>
      <c r="F29" s="122">
        <f t="shared" si="1"/>
        <v>11436.74</v>
      </c>
      <c r="G29" s="122">
        <v>1839645.6</v>
      </c>
      <c r="H29" s="122">
        <v>3318.58</v>
      </c>
      <c r="I29" s="122">
        <v>8118.16</v>
      </c>
      <c r="J29" s="118">
        <f t="shared" si="2"/>
        <v>5.29547E-2</v>
      </c>
      <c r="K29" s="254">
        <f>'Dettes - CORRA'!E31</f>
        <v>2.3083700000000019E-2</v>
      </c>
      <c r="L29" s="121">
        <f t="shared" si="3"/>
        <v>6961.1786294005515</v>
      </c>
      <c r="M29" s="121">
        <f t="shared" si="4"/>
        <v>-1156.9813705994484</v>
      </c>
      <c r="N29" s="117">
        <v>46265</v>
      </c>
      <c r="O29" s="112">
        <f t="shared" si="0"/>
        <v>6</v>
      </c>
      <c r="P29" s="122">
        <f t="shared" si="5"/>
        <v>-209.15</v>
      </c>
    </row>
    <row r="30" spans="2:19" x14ac:dyDescent="0.25">
      <c r="B30" s="117">
        <v>46260</v>
      </c>
      <c r="C30" s="111">
        <v>46291</v>
      </c>
      <c r="D30" s="112">
        <v>30</v>
      </c>
      <c r="E30" s="111">
        <v>46293</v>
      </c>
      <c r="F30" s="122">
        <f t="shared" si="1"/>
        <v>11436.73</v>
      </c>
      <c r="G30" s="122">
        <v>1836327.03</v>
      </c>
      <c r="H30" s="122">
        <v>3333.22</v>
      </c>
      <c r="I30" s="122">
        <v>8103.51</v>
      </c>
      <c r="J30" s="118">
        <f t="shared" si="2"/>
        <v>5.29547E-2</v>
      </c>
      <c r="K30" s="254">
        <f>'Dettes - CORRA'!E32</f>
        <v>2.3083700000000013E-2</v>
      </c>
      <c r="L30" s="121">
        <f t="shared" si="3"/>
        <v>6948.6212332563309</v>
      </c>
      <c r="M30" s="121">
        <f t="shared" si="4"/>
        <v>-1154.8887667436693</v>
      </c>
      <c r="N30" s="117">
        <v>46295</v>
      </c>
      <c r="O30" s="112">
        <f t="shared" si="0"/>
        <v>5</v>
      </c>
      <c r="P30" s="122">
        <f t="shared" si="5"/>
        <v>-173.98</v>
      </c>
    </row>
    <row r="31" spans="2:19" x14ac:dyDescent="0.25">
      <c r="B31" s="117">
        <v>46291</v>
      </c>
      <c r="C31" s="111">
        <v>46321</v>
      </c>
      <c r="D31" s="112">
        <v>30</v>
      </c>
      <c r="E31" s="111">
        <v>46321</v>
      </c>
      <c r="F31" s="122">
        <f t="shared" si="1"/>
        <v>11436.73</v>
      </c>
      <c r="G31" s="122">
        <v>1832993.81</v>
      </c>
      <c r="H31" s="122">
        <v>3347.93</v>
      </c>
      <c r="I31" s="122">
        <v>8088.8</v>
      </c>
      <c r="J31" s="118">
        <f t="shared" si="2"/>
        <v>5.29547E-2</v>
      </c>
      <c r="K31" s="254">
        <f>'Dettes - CORRA'!E33</f>
        <v>2.3083700000000023E-2</v>
      </c>
      <c r="L31" s="121">
        <f t="shared" si="3"/>
        <v>6936.0084018332082</v>
      </c>
      <c r="M31" s="121">
        <f t="shared" si="4"/>
        <v>-1152.791598166792</v>
      </c>
      <c r="N31" s="117">
        <v>46326</v>
      </c>
      <c r="O31" s="112">
        <f t="shared" si="0"/>
        <v>6</v>
      </c>
      <c r="P31" s="122">
        <f t="shared" si="5"/>
        <v>-208.4</v>
      </c>
    </row>
    <row r="32" spans="2:19" x14ac:dyDescent="0.25">
      <c r="B32" s="117">
        <v>46321</v>
      </c>
      <c r="C32" s="111">
        <v>46352</v>
      </c>
      <c r="D32" s="112">
        <v>30</v>
      </c>
      <c r="E32" s="111">
        <v>46352</v>
      </c>
      <c r="F32" s="122">
        <f t="shared" si="1"/>
        <v>11436.73</v>
      </c>
      <c r="G32" s="122">
        <v>1829645.88</v>
      </c>
      <c r="H32" s="122">
        <v>3362.7</v>
      </c>
      <c r="I32" s="122">
        <v>8074.03</v>
      </c>
      <c r="J32" s="118">
        <f t="shared" si="2"/>
        <v>5.29547E-2</v>
      </c>
      <c r="K32" s="254">
        <f>'Dettes - CORRA'!E34</f>
        <v>2.3083700000000013E-2</v>
      </c>
      <c r="L32" s="121">
        <f t="shared" si="3"/>
        <v>6923.3399080924955</v>
      </c>
      <c r="M32" s="121">
        <f t="shared" si="4"/>
        <v>-1150.6900919075042</v>
      </c>
      <c r="N32" s="117">
        <v>46356</v>
      </c>
      <c r="O32" s="112">
        <f t="shared" si="0"/>
        <v>5</v>
      </c>
      <c r="P32" s="122">
        <f t="shared" si="5"/>
        <v>-173.35</v>
      </c>
    </row>
    <row r="33" spans="2:16" x14ac:dyDescent="0.25">
      <c r="B33" s="117">
        <v>46352</v>
      </c>
      <c r="C33" s="111">
        <v>46382</v>
      </c>
      <c r="D33" s="112">
        <v>30</v>
      </c>
      <c r="E33" s="111">
        <v>46385</v>
      </c>
      <c r="F33" s="122">
        <f t="shared" si="1"/>
        <v>11436.73</v>
      </c>
      <c r="G33" s="122">
        <v>1826283.17</v>
      </c>
      <c r="H33" s="122">
        <v>3377.54</v>
      </c>
      <c r="I33" s="122">
        <v>8059.19</v>
      </c>
      <c r="J33" s="118">
        <f t="shared" si="2"/>
        <v>5.29547E-2</v>
      </c>
      <c r="K33" s="254">
        <f>'Dettes - CORRA'!E35</f>
        <v>2.3083700000000013E-2</v>
      </c>
      <c r="L33" s="121">
        <f t="shared" si="3"/>
        <v>6910.6154871557274</v>
      </c>
      <c r="M33" s="121">
        <f t="shared" si="4"/>
        <v>-1148.5745128442722</v>
      </c>
      <c r="N33" s="117">
        <v>46387</v>
      </c>
      <c r="O33" s="112">
        <f t="shared" si="0"/>
        <v>6</v>
      </c>
      <c r="P33" s="122">
        <f t="shared" si="5"/>
        <v>-207.63</v>
      </c>
    </row>
    <row r="34" spans="2:16" x14ac:dyDescent="0.25">
      <c r="B34" s="117">
        <v>46382</v>
      </c>
      <c r="C34" s="111">
        <v>46413</v>
      </c>
      <c r="D34" s="112">
        <v>30</v>
      </c>
      <c r="E34" s="111">
        <v>46413</v>
      </c>
      <c r="F34" s="122">
        <f t="shared" si="1"/>
        <v>1830949.92</v>
      </c>
      <c r="G34" s="122">
        <v>1822905.63</v>
      </c>
      <c r="H34" s="122">
        <v>1822905.63</v>
      </c>
      <c r="I34" s="122">
        <v>8044.29</v>
      </c>
      <c r="J34" s="118">
        <f t="shared" si="2"/>
        <v>5.29547E-2</v>
      </c>
      <c r="K34" s="254">
        <v>2.3093680000000005E-2</v>
      </c>
      <c r="L34" s="122"/>
      <c r="M34" s="122"/>
      <c r="N34" s="117">
        <v>46418</v>
      </c>
      <c r="O34" s="112">
        <f t="shared" si="0"/>
        <v>6</v>
      </c>
      <c r="P34" s="122">
        <f>-IF(K34="","",ROUND(G34*($C$3-K34)*O34/365,2))</f>
        <v>-206.95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9EBC3-7050-4B9F-88E8-685933E03C28}">
  <dimension ref="B2:O21"/>
  <sheetViews>
    <sheetView workbookViewId="0">
      <selection activeCell="H23" sqref="H23"/>
    </sheetView>
  </sheetViews>
  <sheetFormatPr baseColWidth="10" defaultRowHeight="13.2" x14ac:dyDescent="0.25"/>
  <cols>
    <col min="1" max="1" width="5.109375" customWidth="1"/>
    <col min="2" max="2" width="16.5546875" bestFit="1" customWidth="1"/>
    <col min="3" max="3" width="17.77734375" bestFit="1" customWidth="1"/>
    <col min="4" max="5" width="16.5546875" customWidth="1"/>
    <col min="6" max="6" width="21.77734375" customWidth="1"/>
    <col min="8" max="8" width="21" bestFit="1" customWidth="1"/>
    <col min="9" max="9" width="21.21875" bestFit="1" customWidth="1"/>
    <col min="10" max="10" width="6.5546875" customWidth="1"/>
    <col min="11" max="11" width="16.5546875" bestFit="1" customWidth="1"/>
    <col min="12" max="12" width="20.21875" bestFit="1" customWidth="1"/>
    <col min="13" max="13" width="12.44140625" bestFit="1" customWidth="1"/>
    <col min="14" max="14" width="15.44140625" bestFit="1" customWidth="1"/>
    <col min="15" max="15" width="21.21875" bestFit="1" customWidth="1"/>
  </cols>
  <sheetData>
    <row r="2" spans="2:15" x14ac:dyDescent="0.25">
      <c r="B2" s="289" t="s">
        <v>235</v>
      </c>
      <c r="C2" s="289"/>
      <c r="D2" s="289"/>
      <c r="E2" s="289"/>
      <c r="F2" s="290"/>
      <c r="G2" s="290"/>
      <c r="H2" s="290"/>
      <c r="I2" s="290"/>
      <c r="K2" s="289" t="s">
        <v>250</v>
      </c>
      <c r="L2" s="289"/>
      <c r="M2" s="289"/>
      <c r="N2" s="289"/>
      <c r="O2" s="290"/>
    </row>
    <row r="3" spans="2:15" x14ac:dyDescent="0.25">
      <c r="B3" s="282" t="s">
        <v>230</v>
      </c>
      <c r="C3" s="282" t="s">
        <v>0</v>
      </c>
      <c r="D3" s="282" t="s">
        <v>1</v>
      </c>
      <c r="E3" s="282" t="s">
        <v>57</v>
      </c>
      <c r="F3" s="282" t="s">
        <v>233</v>
      </c>
      <c r="G3" s="282" t="s">
        <v>231</v>
      </c>
      <c r="H3" s="282" t="s">
        <v>236</v>
      </c>
      <c r="I3" s="282" t="s">
        <v>232</v>
      </c>
      <c r="K3" s="282" t="s">
        <v>230</v>
      </c>
      <c r="L3" s="282" t="s">
        <v>233</v>
      </c>
      <c r="M3" s="282" t="s">
        <v>236</v>
      </c>
      <c r="N3" s="282" t="s">
        <v>251</v>
      </c>
      <c r="O3" s="282" t="s">
        <v>232</v>
      </c>
    </row>
    <row r="4" spans="2:15" x14ac:dyDescent="0.25">
      <c r="B4" s="283" t="s">
        <v>234</v>
      </c>
      <c r="C4" s="286">
        <v>45504</v>
      </c>
      <c r="D4" s="286">
        <v>45565</v>
      </c>
      <c r="E4" s="283">
        <f>Fraisattente[[#This Row],[Date de fin]]-Fraisattente[[#This Row],[Date de début]]+1</f>
        <v>62</v>
      </c>
      <c r="F4" s="284">
        <v>20000000</v>
      </c>
      <c r="G4" s="287">
        <v>4.0000000000000001E-3</v>
      </c>
      <c r="H4" s="285">
        <f>(F4*G4)*(Fraisattente[[#This Row],[Jours]]/365)</f>
        <v>13589.04109589041</v>
      </c>
      <c r="I4" s="286">
        <v>45566</v>
      </c>
      <c r="K4" s="283" t="s">
        <v>102</v>
      </c>
      <c r="L4" s="284">
        <v>39000000</v>
      </c>
      <c r="M4" s="285">
        <v>25000</v>
      </c>
      <c r="N4" s="284" t="s">
        <v>252</v>
      </c>
      <c r="O4" s="286">
        <v>45653</v>
      </c>
    </row>
    <row r="5" spans="2:15" x14ac:dyDescent="0.25">
      <c r="B5" s="283" t="s">
        <v>102</v>
      </c>
      <c r="C5" s="286">
        <v>45504</v>
      </c>
      <c r="D5" s="286">
        <v>45517</v>
      </c>
      <c r="E5" s="283">
        <f>Fraisattente[[#This Row],[Date de fin]]-Fraisattente[[#This Row],[Date de début]]+1</f>
        <v>14</v>
      </c>
      <c r="F5" s="284">
        <f>55000000-42500000</f>
        <v>12500000</v>
      </c>
      <c r="G5" s="287">
        <v>4.0000000000000001E-3</v>
      </c>
      <c r="H5" s="285">
        <f>(F5*G5)*(Fraisattente[[#This Row],[Jours]]/365)</f>
        <v>1917.8082191780823</v>
      </c>
      <c r="I5" s="286">
        <v>45566</v>
      </c>
      <c r="K5" s="283" t="s">
        <v>102</v>
      </c>
      <c r="L5" s="284">
        <v>39000000</v>
      </c>
      <c r="M5" s="285">
        <v>25000</v>
      </c>
      <c r="N5" s="284" t="s">
        <v>252</v>
      </c>
      <c r="O5" s="286">
        <v>46020</v>
      </c>
    </row>
    <row r="6" spans="2:15" x14ac:dyDescent="0.25">
      <c r="B6" s="283" t="s">
        <v>102</v>
      </c>
      <c r="C6" s="286">
        <v>45518</v>
      </c>
      <c r="D6" s="286">
        <v>45533</v>
      </c>
      <c r="E6" s="283">
        <f>Fraisattente[[#This Row],[Date de fin]]-Fraisattente[[#This Row],[Date de début]]+1</f>
        <v>16</v>
      </c>
      <c r="F6" s="284">
        <f>55000000-42500000-100000</f>
        <v>12400000</v>
      </c>
      <c r="G6" s="287">
        <v>4.0000000000000001E-3</v>
      </c>
      <c r="H6" s="285">
        <f>(F6*G6)*(Fraisattente[[#This Row],[Jours]]/365)</f>
        <v>2174.2465753424658</v>
      </c>
      <c r="I6" s="286">
        <v>45566</v>
      </c>
      <c r="K6" s="283"/>
      <c r="L6" s="284"/>
      <c r="M6" s="285">
        <f>SUBTOTAL(109,Fraisattente24[[Frais ]])</f>
        <v>50000</v>
      </c>
      <c r="N6" s="285"/>
      <c r="O6" s="284"/>
    </row>
    <row r="7" spans="2:15" x14ac:dyDescent="0.25">
      <c r="B7" s="283" t="s">
        <v>102</v>
      </c>
      <c r="C7" s="286">
        <v>45534</v>
      </c>
      <c r="D7" s="286">
        <v>45565</v>
      </c>
      <c r="E7" s="283">
        <f>Fraisattente[[#This Row],[Date de fin]]-Fraisattente[[#This Row],[Date de début]]+1</f>
        <v>32</v>
      </c>
      <c r="F7" s="284">
        <f>55000000-41000000-100000</f>
        <v>13900000</v>
      </c>
      <c r="G7" s="287">
        <v>4.0000000000000001E-3</v>
      </c>
      <c r="H7" s="285">
        <f>(F7*G7)*(Fraisattente[[#This Row],[Jours]]/365)</f>
        <v>4874.5205479452052</v>
      </c>
      <c r="I7" s="286">
        <v>45566</v>
      </c>
    </row>
    <row r="8" spans="2:15" x14ac:dyDescent="0.25">
      <c r="B8" s="283" t="s">
        <v>102</v>
      </c>
      <c r="C8" s="286">
        <v>45566</v>
      </c>
      <c r="D8" s="286">
        <v>45614</v>
      </c>
      <c r="E8" s="283">
        <f>Fraisattente[[#This Row],[Date de fin]]-Fraisattente[[#This Row],[Date de début]]+1</f>
        <v>49</v>
      </c>
      <c r="F8" s="284">
        <f>55000000-41000000-100000</f>
        <v>13900000</v>
      </c>
      <c r="G8" s="287">
        <v>4.0000000000000001E-3</v>
      </c>
      <c r="H8" s="285">
        <f>(F8*G8)*(Fraisattente[[#This Row],[Jours]]/365)</f>
        <v>7464.1095890410961</v>
      </c>
      <c r="I8" s="286">
        <v>45660</v>
      </c>
    </row>
    <row r="9" spans="2:15" x14ac:dyDescent="0.25">
      <c r="B9" s="283" t="s">
        <v>102</v>
      </c>
      <c r="C9" s="286">
        <v>45615</v>
      </c>
      <c r="D9" s="286">
        <v>45652</v>
      </c>
      <c r="E9" s="283">
        <f>Fraisattente[[#This Row],[Date de fin]]-Fraisattente[[#This Row],[Date de début]]+1</f>
        <v>38</v>
      </c>
      <c r="F9" s="284">
        <f>55000000-41000000-100000-3000000</f>
        <v>10900000</v>
      </c>
      <c r="G9" s="287">
        <v>4.0000000000000001E-3</v>
      </c>
      <c r="H9" s="285">
        <f>(F9*G9)*(Fraisattente[[#This Row],[Jours]]/365)</f>
        <v>4539.178082191781</v>
      </c>
      <c r="I9" s="286">
        <v>45660</v>
      </c>
    </row>
    <row r="10" spans="2:15" x14ac:dyDescent="0.25">
      <c r="B10" s="283" t="s">
        <v>102</v>
      </c>
      <c r="C10" s="286">
        <v>45653</v>
      </c>
      <c r="D10" s="286">
        <v>45657</v>
      </c>
      <c r="E10" s="283">
        <f>Fraisattente[[#This Row],[Date de fin]]-Fraisattente[[#This Row],[Date de début]]+1</f>
        <v>5</v>
      </c>
      <c r="F10" s="284">
        <f>55000000-41000000-100000-3000000+5000000</f>
        <v>15900000</v>
      </c>
      <c r="G10" s="287">
        <v>4.0000000000000001E-3</v>
      </c>
      <c r="H10" s="285">
        <f>(F10*G10)*(Fraisattente[[#This Row],[Jours]]/365)</f>
        <v>871.23287671232868</v>
      </c>
      <c r="I10" s="286">
        <v>45660</v>
      </c>
    </row>
    <row r="11" spans="2:15" x14ac:dyDescent="0.25">
      <c r="B11" s="323" t="s">
        <v>102</v>
      </c>
      <c r="C11" s="324">
        <v>45658</v>
      </c>
      <c r="D11" s="324">
        <v>45747</v>
      </c>
      <c r="E11" s="323">
        <f>Fraisattente[[#This Row],[Date de fin]]-Fraisattente[[#This Row],[Date de début]]+1</f>
        <v>90</v>
      </c>
      <c r="F11" s="325">
        <f>55000000-41000000-100000-3000000+5000000</f>
        <v>15900000</v>
      </c>
      <c r="G11" s="326">
        <v>4.0000000000000001E-3</v>
      </c>
      <c r="H11" s="327">
        <f>(F11*G11)*(Fraisattente[[#This Row],[Jours]]/365)</f>
        <v>15682.191780821917</v>
      </c>
      <c r="I11" s="324">
        <v>45748</v>
      </c>
    </row>
    <row r="12" spans="2:15" x14ac:dyDescent="0.25">
      <c r="B12" s="323" t="s">
        <v>102</v>
      </c>
      <c r="C12" s="324">
        <v>45748</v>
      </c>
      <c r="D12" s="324">
        <v>45838</v>
      </c>
      <c r="E12" s="323">
        <f>Fraisattente[[#This Row],[Date de fin]]-Fraisattente[[#This Row],[Date de début]]+1</f>
        <v>91</v>
      </c>
      <c r="F12" s="325">
        <f>55000000-41000000-100000-3000000+5000000</f>
        <v>15900000</v>
      </c>
      <c r="G12" s="326">
        <v>4.0000000000000001E-3</v>
      </c>
      <c r="H12" s="327">
        <f>(F12*G12)*(Fraisattente[[#This Row],[Jours]]/365)</f>
        <v>15856.438356164384</v>
      </c>
      <c r="I12" s="324">
        <v>45839</v>
      </c>
    </row>
    <row r="13" spans="2:15" x14ac:dyDescent="0.25">
      <c r="B13" s="323" t="s">
        <v>102</v>
      </c>
      <c r="C13" s="324">
        <v>45839</v>
      </c>
      <c r="D13" s="324">
        <v>45930</v>
      </c>
      <c r="E13" s="323">
        <f>Fraisattente[[#This Row],[Date de fin]]-Fraisattente[[#This Row],[Date de début]]+1</f>
        <v>92</v>
      </c>
      <c r="F13" s="325">
        <f>55000000-41000000-100000-3000000+5000000</f>
        <v>15900000</v>
      </c>
      <c r="G13" s="326">
        <v>4.0000000000000001E-3</v>
      </c>
      <c r="H13" s="327">
        <f>(F13*G13)*(Fraisattente[[#This Row],[Jours]]/365)</f>
        <v>16030.68493150685</v>
      </c>
      <c r="I13" s="324">
        <v>45931</v>
      </c>
    </row>
    <row r="14" spans="2:15" x14ac:dyDescent="0.25">
      <c r="B14" s="323" t="s">
        <v>102</v>
      </c>
      <c r="C14" s="324">
        <v>45931</v>
      </c>
      <c r="D14" s="324">
        <v>46022</v>
      </c>
      <c r="E14" s="323">
        <f>Fraisattente[[#This Row],[Date de fin]]-Fraisattente[[#This Row],[Date de début]]+1</f>
        <v>92</v>
      </c>
      <c r="F14" s="325">
        <f>55000000-41000000-100000-3000000+5000000</f>
        <v>15900000</v>
      </c>
      <c r="G14" s="326">
        <v>4.0000000000000001E-3</v>
      </c>
      <c r="H14" s="327">
        <f>(F14*G14)*(Fraisattente[[#This Row],[Jours]]/365)</f>
        <v>16030.68493150685</v>
      </c>
      <c r="I14" s="324">
        <v>46027</v>
      </c>
    </row>
    <row r="15" spans="2:15" x14ac:dyDescent="0.25">
      <c r="B15" s="283"/>
      <c r="C15" s="283"/>
      <c r="D15" s="283"/>
      <c r="E15" s="283"/>
      <c r="F15" s="284"/>
      <c r="G15" s="288"/>
      <c r="H15" s="285">
        <f>SUBTOTAL(109,Fraisattente[[Frais ]])</f>
        <v>99030.136986301368</v>
      </c>
      <c r="I15" s="284"/>
    </row>
    <row r="16" spans="2:15" x14ac:dyDescent="0.25">
      <c r="B16" s="283"/>
      <c r="C16" s="283"/>
      <c r="D16" s="283"/>
      <c r="E16" s="283"/>
      <c r="F16" s="284"/>
      <c r="G16" s="288"/>
      <c r="H16" s="285"/>
      <c r="I16" s="284"/>
    </row>
    <row r="17" spans="2:9" x14ac:dyDescent="0.25">
      <c r="B17" s="283"/>
      <c r="C17" s="283"/>
      <c r="D17" s="283"/>
      <c r="E17" s="283"/>
      <c r="F17" s="284"/>
      <c r="G17" s="288"/>
      <c r="H17" s="285"/>
      <c r="I17" s="284"/>
    </row>
    <row r="18" spans="2:9" x14ac:dyDescent="0.25">
      <c r="B18" s="320"/>
      <c r="C18" s="320"/>
      <c r="D18" s="320"/>
      <c r="E18" s="320"/>
      <c r="F18" s="317"/>
    </row>
    <row r="19" spans="2:9" x14ac:dyDescent="0.25">
      <c r="B19" s="321"/>
      <c r="C19" s="321"/>
      <c r="D19" s="321"/>
      <c r="E19" s="321"/>
      <c r="F19" s="321"/>
    </row>
    <row r="20" spans="2:9" x14ac:dyDescent="0.25">
      <c r="B20" s="283"/>
      <c r="C20" s="284"/>
      <c r="D20" s="285"/>
      <c r="E20" s="284"/>
      <c r="F20" s="286"/>
    </row>
    <row r="21" spans="2:9" x14ac:dyDescent="0.25">
      <c r="B21" s="283"/>
      <c r="C21" s="284"/>
      <c r="D21" s="285"/>
      <c r="E21" s="285"/>
      <c r="F21" s="284"/>
    </row>
  </sheetData>
  <pageMargins left="0.7" right="0.7" top="0.75" bottom="0.75" header="0.3" footer="0.3"/>
  <tableParts count="2">
    <tablePart r:id="rId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8DDA0-010B-4AD2-9A66-3C2F1D50BD8C}">
  <dimension ref="B2:R885"/>
  <sheetViews>
    <sheetView topLeftCell="A148" workbookViewId="0">
      <selection activeCell="I167" sqref="I167"/>
    </sheetView>
  </sheetViews>
  <sheetFormatPr baseColWidth="10" defaultRowHeight="13.2" x14ac:dyDescent="0.25"/>
  <cols>
    <col min="1" max="1" width="3.5546875" customWidth="1"/>
    <col min="2" max="2" width="12" bestFit="1" customWidth="1"/>
    <col min="3" max="3" width="11.88671875" bestFit="1" customWidth="1"/>
    <col min="5" max="5" width="14" bestFit="1" customWidth="1"/>
    <col min="17" max="17" width="12.5546875" bestFit="1" customWidth="1"/>
  </cols>
  <sheetData>
    <row r="2" spans="2:8" x14ac:dyDescent="0.25">
      <c r="B2" s="247">
        <v>45504</v>
      </c>
      <c r="C2" s="248">
        <f>7.07547-2.29547</f>
        <v>4.78</v>
      </c>
    </row>
    <row r="3" spans="2:8" x14ac:dyDescent="0.25">
      <c r="B3" s="247">
        <v>45505</v>
      </c>
      <c r="C3" s="248">
        <f>6.826063-2.29547</f>
        <v>4.5305930000000005</v>
      </c>
    </row>
    <row r="4" spans="2:8" x14ac:dyDescent="0.25">
      <c r="B4" s="247">
        <v>45506</v>
      </c>
      <c r="C4" s="248">
        <f>6.816623-2.29547</f>
        <v>4.521153</v>
      </c>
    </row>
    <row r="5" spans="2:8" x14ac:dyDescent="0.25">
      <c r="B5" s="247">
        <v>45507</v>
      </c>
      <c r="C5" s="248">
        <f>6.816623-2.29547</f>
        <v>4.521153</v>
      </c>
    </row>
    <row r="6" spans="2:8" x14ac:dyDescent="0.25">
      <c r="B6" s="247">
        <v>45508</v>
      </c>
      <c r="C6" s="248">
        <f>6.816623-2.29547</f>
        <v>4.521153</v>
      </c>
    </row>
    <row r="7" spans="2:8" x14ac:dyDescent="0.25">
      <c r="B7" s="247">
        <v>45509</v>
      </c>
      <c r="C7" s="248">
        <f>6.816623-2.29547</f>
        <v>4.521153</v>
      </c>
    </row>
    <row r="8" spans="2:8" x14ac:dyDescent="0.25">
      <c r="B8" s="247">
        <v>45510</v>
      </c>
      <c r="C8" s="248">
        <f>6.818863-2.29547</f>
        <v>4.5233930000000004</v>
      </c>
    </row>
    <row r="9" spans="2:8" x14ac:dyDescent="0.25">
      <c r="B9" s="247">
        <v>45511</v>
      </c>
      <c r="C9" s="248">
        <f>6.819423-2.29547</f>
        <v>4.5239529999999997</v>
      </c>
    </row>
    <row r="10" spans="2:8" x14ac:dyDescent="0.25">
      <c r="B10" s="247">
        <v>45512</v>
      </c>
      <c r="C10" s="248">
        <f>6.829993-2.29547</f>
        <v>4.5345230000000001</v>
      </c>
    </row>
    <row r="11" spans="2:8" x14ac:dyDescent="0.25">
      <c r="B11" s="247">
        <v>45513</v>
      </c>
      <c r="C11" s="248">
        <f>6.830556-2.29547</f>
        <v>4.5350859999999997</v>
      </c>
    </row>
    <row r="12" spans="2:8" x14ac:dyDescent="0.25">
      <c r="B12" s="247">
        <v>45514</v>
      </c>
      <c r="C12" s="248">
        <f>6.830556-2.29547</f>
        <v>4.5350859999999997</v>
      </c>
      <c r="H12" s="226"/>
    </row>
    <row r="13" spans="2:8" x14ac:dyDescent="0.25">
      <c r="B13" s="247">
        <v>45515</v>
      </c>
      <c r="C13" s="248">
        <f>6.830556-2.29547</f>
        <v>4.5350859999999997</v>
      </c>
      <c r="H13" s="226"/>
    </row>
    <row r="14" spans="2:8" x14ac:dyDescent="0.25">
      <c r="B14" s="247">
        <v>45516</v>
      </c>
      <c r="C14" s="248">
        <f>6.832244-2.29547</f>
        <v>4.5367740000000003</v>
      </c>
      <c r="H14" s="226"/>
    </row>
    <row r="15" spans="2:8" x14ac:dyDescent="0.25">
      <c r="B15" s="247">
        <v>45517</v>
      </c>
      <c r="C15" s="249">
        <f>6.832807-2.29547</f>
        <v>4.537337</v>
      </c>
      <c r="H15" s="226"/>
    </row>
    <row r="16" spans="2:8" x14ac:dyDescent="0.25">
      <c r="B16" s="247">
        <v>45518</v>
      </c>
      <c r="C16" s="248">
        <f>6.83337-2.29547</f>
        <v>4.5379000000000005</v>
      </c>
      <c r="H16" s="226"/>
    </row>
    <row r="17" spans="2:8" x14ac:dyDescent="0.25">
      <c r="B17" s="247">
        <v>45519</v>
      </c>
      <c r="C17" s="248">
        <f>6.86399-2.29547</f>
        <v>4.5685200000000004</v>
      </c>
      <c r="H17" s="226"/>
    </row>
    <row r="18" spans="2:8" x14ac:dyDescent="0.25">
      <c r="B18" s="247">
        <v>45520</v>
      </c>
      <c r="C18" s="248">
        <f>6.85454-2.29547</f>
        <v>4.5590700000000002</v>
      </c>
      <c r="H18" s="226"/>
    </row>
    <row r="19" spans="2:8" x14ac:dyDescent="0.25">
      <c r="B19" s="247">
        <v>45521</v>
      </c>
      <c r="C19" s="248">
        <f>6.85454-2.29547</f>
        <v>4.5590700000000002</v>
      </c>
      <c r="H19" s="226"/>
    </row>
    <row r="20" spans="2:8" x14ac:dyDescent="0.25">
      <c r="B20" s="247">
        <v>45522</v>
      </c>
      <c r="C20" s="248">
        <f>6.85454-2.29547</f>
        <v>4.5590700000000002</v>
      </c>
      <c r="H20" s="226"/>
    </row>
    <row r="21" spans="2:8" x14ac:dyDescent="0.25">
      <c r="B21" s="247">
        <v>45523</v>
      </c>
      <c r="C21" s="248">
        <f>6.836198-2.29547</f>
        <v>4.5407280000000005</v>
      </c>
      <c r="H21" s="226"/>
    </row>
    <row r="22" spans="2:8" x14ac:dyDescent="0.25">
      <c r="B22" s="247">
        <v>45524</v>
      </c>
      <c r="C22" s="248">
        <f>6.836762-2.29547</f>
        <v>4.5412920000000003</v>
      </c>
      <c r="H22" s="226"/>
    </row>
    <row r="23" spans="2:8" x14ac:dyDescent="0.25">
      <c r="B23" s="247">
        <v>45525</v>
      </c>
      <c r="C23" s="248">
        <f>6.837325-2.29547</f>
        <v>4.541855</v>
      </c>
      <c r="H23" s="226"/>
    </row>
    <row r="24" spans="2:8" x14ac:dyDescent="0.25">
      <c r="B24" s="247">
        <v>45526</v>
      </c>
      <c r="C24" s="248">
        <f>6.837889-2.29547</f>
        <v>4.5424189999999998</v>
      </c>
      <c r="H24" s="226"/>
    </row>
    <row r="25" spans="2:8" x14ac:dyDescent="0.25">
      <c r="B25" s="247">
        <v>45527</v>
      </c>
      <c r="C25" s="248">
        <f>6.838453-2.29547</f>
        <v>4.5429830000000004</v>
      </c>
      <c r="H25" s="226"/>
    </row>
    <row r="26" spans="2:8" x14ac:dyDescent="0.25">
      <c r="B26" s="247">
        <v>45528</v>
      </c>
      <c r="C26" s="248">
        <f>6.838453-2.29547</f>
        <v>4.5429830000000004</v>
      </c>
      <c r="H26" s="226"/>
    </row>
    <row r="27" spans="2:8" x14ac:dyDescent="0.25">
      <c r="B27" s="247">
        <v>45529</v>
      </c>
      <c r="C27" s="249">
        <f>6.838453-2.29547</f>
        <v>4.5429830000000004</v>
      </c>
      <c r="H27" s="226"/>
    </row>
    <row r="28" spans="2:8" x14ac:dyDescent="0.25">
      <c r="B28" s="247">
        <v>45530</v>
      </c>
      <c r="C28" s="248">
        <f>6.840144-2.29547</f>
        <v>4.5446739999999997</v>
      </c>
      <c r="E28" s="244"/>
      <c r="H28" s="226"/>
    </row>
    <row r="29" spans="2:8" x14ac:dyDescent="0.25">
      <c r="B29" s="247">
        <v>45531</v>
      </c>
      <c r="C29" s="248">
        <f>6.840708-2.29547</f>
        <v>4.5452380000000003</v>
      </c>
      <c r="H29" s="226"/>
    </row>
    <row r="30" spans="2:8" x14ac:dyDescent="0.25">
      <c r="B30" s="247">
        <v>45532</v>
      </c>
      <c r="C30" s="248">
        <f>6.831237-2.29547</f>
        <v>4.5357669999999999</v>
      </c>
    </row>
    <row r="31" spans="2:8" x14ac:dyDescent="0.25">
      <c r="B31" s="247">
        <v>45533</v>
      </c>
      <c r="C31" s="248">
        <f>6.831799-2.29547</f>
        <v>4.5363290000000003</v>
      </c>
    </row>
    <row r="32" spans="2:8" x14ac:dyDescent="0.25">
      <c r="B32" s="247">
        <v>45534</v>
      </c>
      <c r="C32" s="248">
        <f>6.82547-2.29547</f>
        <v>4.53</v>
      </c>
    </row>
    <row r="33" spans="2:3" x14ac:dyDescent="0.25">
      <c r="B33" s="247">
        <v>45535</v>
      </c>
      <c r="C33" s="248">
        <f>6.82547-2.29547</f>
        <v>4.53</v>
      </c>
    </row>
    <row r="34" spans="2:3" x14ac:dyDescent="0.25">
      <c r="B34" s="247">
        <v>45536</v>
      </c>
      <c r="C34" s="248">
        <f>6.82547-2.29547</f>
        <v>4.53</v>
      </c>
    </row>
    <row r="35" spans="2:3" x14ac:dyDescent="0.25">
      <c r="B35" s="247">
        <v>45537</v>
      </c>
      <c r="C35" s="248">
        <f>6.82547-2.29547</f>
        <v>4.53</v>
      </c>
    </row>
    <row r="36" spans="2:3" x14ac:dyDescent="0.25">
      <c r="B36" s="247">
        <v>45538</v>
      </c>
      <c r="C36" s="248">
        <f>6.827719-2.29547</f>
        <v>4.5322490000000002</v>
      </c>
    </row>
    <row r="37" spans="2:3" x14ac:dyDescent="0.25">
      <c r="B37" s="247">
        <v>45539</v>
      </c>
      <c r="C37" s="248">
        <f>6.828281-2.29547</f>
        <v>4.5328109999999997</v>
      </c>
    </row>
    <row r="38" spans="2:3" x14ac:dyDescent="0.25">
      <c r="B38" s="247">
        <v>45540</v>
      </c>
      <c r="C38" s="248">
        <f>6.828844-2.29547</f>
        <v>4.5333740000000002</v>
      </c>
    </row>
    <row r="39" spans="2:3" x14ac:dyDescent="0.25">
      <c r="B39" s="247">
        <v>45541</v>
      </c>
      <c r="C39" s="248">
        <f>6.829407-2.29547</f>
        <v>4.5339369999999999</v>
      </c>
    </row>
    <row r="40" spans="2:3" x14ac:dyDescent="0.25">
      <c r="B40" s="247">
        <v>45542</v>
      </c>
      <c r="C40" s="248">
        <f>6.829407-2.29547</f>
        <v>4.5339369999999999</v>
      </c>
    </row>
    <row r="41" spans="2:3" x14ac:dyDescent="0.25">
      <c r="B41" s="247">
        <v>45543</v>
      </c>
      <c r="C41" s="248">
        <f>6.829407-2.29547</f>
        <v>4.5339369999999999</v>
      </c>
    </row>
    <row r="42" spans="2:3" x14ac:dyDescent="0.25">
      <c r="B42" s="247">
        <v>45544</v>
      </c>
      <c r="C42" s="248">
        <f>6.831095-2.29547</f>
        <v>4.5356250000000005</v>
      </c>
    </row>
    <row r="43" spans="2:3" x14ac:dyDescent="0.25">
      <c r="B43" s="247">
        <v>45545</v>
      </c>
      <c r="C43" s="248">
        <f>6.841671-2.29547</f>
        <v>4.5462009999999999</v>
      </c>
    </row>
    <row r="44" spans="2:3" x14ac:dyDescent="0.25">
      <c r="B44" s="247">
        <v>45546</v>
      </c>
      <c r="C44" s="248">
        <f>6.842237-2.29547</f>
        <v>4.546767</v>
      </c>
    </row>
    <row r="45" spans="2:3" x14ac:dyDescent="0.25">
      <c r="B45" s="247">
        <v>45547</v>
      </c>
      <c r="C45" s="248">
        <f>6.592399-2.29547</f>
        <v>4.2969290000000004</v>
      </c>
    </row>
    <row r="46" spans="2:3" x14ac:dyDescent="0.25">
      <c r="B46" s="247">
        <v>45548</v>
      </c>
      <c r="C46" s="248">
        <f>6.592904-2.29547</f>
        <v>4.297434</v>
      </c>
    </row>
    <row r="47" spans="2:3" x14ac:dyDescent="0.25">
      <c r="B47" s="247">
        <v>45549</v>
      </c>
      <c r="C47" s="248">
        <f>6.592904-2.29547</f>
        <v>4.297434</v>
      </c>
    </row>
    <row r="48" spans="2:3" x14ac:dyDescent="0.25">
      <c r="B48" s="247">
        <v>45550</v>
      </c>
      <c r="C48" s="248">
        <f>6.592904-2.29547</f>
        <v>4.297434</v>
      </c>
    </row>
    <row r="49" spans="2:8" x14ac:dyDescent="0.25">
      <c r="B49" s="247">
        <v>45551</v>
      </c>
      <c r="C49" s="248">
        <f>6.594419-2.29547</f>
        <v>4.2989490000000004</v>
      </c>
    </row>
    <row r="50" spans="2:8" x14ac:dyDescent="0.25">
      <c r="B50" s="247">
        <v>45552</v>
      </c>
      <c r="C50" s="248">
        <f>6.594924-2.29547</f>
        <v>4.2994539999999999</v>
      </c>
    </row>
    <row r="51" spans="2:8" x14ac:dyDescent="0.25">
      <c r="B51" s="247">
        <v>45553</v>
      </c>
      <c r="C51" s="248">
        <f>6.605453-2.29547</f>
        <v>4.3099829999999999</v>
      </c>
    </row>
    <row r="52" spans="2:8" x14ac:dyDescent="0.25">
      <c r="B52" s="247">
        <v>45554</v>
      </c>
      <c r="C52" s="248">
        <f>6.595936-2.29547</f>
        <v>4.3004660000000001</v>
      </c>
    </row>
    <row r="53" spans="2:8" x14ac:dyDescent="0.25">
      <c r="B53" s="247">
        <v>45555</v>
      </c>
      <c r="C53" s="248">
        <f>6.596441-2.29547</f>
        <v>4.3009710000000005</v>
      </c>
    </row>
    <row r="54" spans="2:8" x14ac:dyDescent="0.25">
      <c r="B54" s="247">
        <v>45556</v>
      </c>
      <c r="C54" s="248">
        <f>6.596441-2.29547</f>
        <v>4.3009710000000005</v>
      </c>
    </row>
    <row r="55" spans="2:8" x14ac:dyDescent="0.25">
      <c r="B55" s="247">
        <v>45557</v>
      </c>
      <c r="C55" s="248">
        <f>6.596441-2.29547</f>
        <v>4.3009710000000005</v>
      </c>
    </row>
    <row r="56" spans="2:8" x14ac:dyDescent="0.25">
      <c r="B56" s="247">
        <v>45558</v>
      </c>
      <c r="C56" s="248">
        <f>6.597958-2.29547</f>
        <v>4.3024880000000003</v>
      </c>
    </row>
    <row r="57" spans="2:8" x14ac:dyDescent="0.25">
      <c r="B57" s="247">
        <v>45559</v>
      </c>
      <c r="C57" s="248">
        <f>6.598464-2.29547</f>
        <v>4.302994</v>
      </c>
    </row>
    <row r="58" spans="2:8" x14ac:dyDescent="0.25">
      <c r="B58" s="247">
        <v>45560</v>
      </c>
      <c r="C58" s="248">
        <f>6.598969-2.29547</f>
        <v>4.3034990000000004</v>
      </c>
    </row>
    <row r="59" spans="2:8" x14ac:dyDescent="0.25">
      <c r="B59" s="247">
        <v>45561</v>
      </c>
      <c r="C59" s="248">
        <f>6.58547-2.29547</f>
        <v>4.29</v>
      </c>
      <c r="H59" s="226"/>
    </row>
    <row r="60" spans="2:8" x14ac:dyDescent="0.25">
      <c r="B60" s="247">
        <v>45562</v>
      </c>
      <c r="C60" s="248">
        <f>6.585974-2.29547</f>
        <v>4.2905040000000003</v>
      </c>
      <c r="H60" s="226"/>
    </row>
    <row r="61" spans="2:8" x14ac:dyDescent="0.25">
      <c r="B61" s="247">
        <v>45563</v>
      </c>
      <c r="C61" s="248">
        <f>6.585974-2.29547</f>
        <v>4.2905040000000003</v>
      </c>
      <c r="H61" s="226"/>
    </row>
    <row r="62" spans="2:8" x14ac:dyDescent="0.25">
      <c r="B62" s="247">
        <v>45564</v>
      </c>
      <c r="C62" s="248">
        <f>6.585974-2.29547</f>
        <v>4.2905040000000003</v>
      </c>
      <c r="H62" s="226"/>
    </row>
    <row r="63" spans="2:8" x14ac:dyDescent="0.25">
      <c r="B63" s="247">
        <v>45565</v>
      </c>
      <c r="C63" s="248">
        <f>6.585974-2.29547</f>
        <v>4.2905040000000003</v>
      </c>
      <c r="H63" s="226"/>
    </row>
    <row r="64" spans="2:8" x14ac:dyDescent="0.25">
      <c r="B64" s="247">
        <v>45566</v>
      </c>
      <c r="C64" s="248">
        <f>6.587991-2.29547</f>
        <v>4.2925209999999998</v>
      </c>
      <c r="H64" s="226"/>
    </row>
    <row r="65" spans="2:18" x14ac:dyDescent="0.25">
      <c r="B65" s="247">
        <v>45567</v>
      </c>
      <c r="C65" s="248">
        <f>6.588496-2.29547</f>
        <v>4.2930260000000002</v>
      </c>
      <c r="H65" s="226"/>
    </row>
    <row r="66" spans="2:18" x14ac:dyDescent="0.25">
      <c r="B66" s="247">
        <v>45568</v>
      </c>
      <c r="C66" s="248">
        <f>6.599009-2.29547</f>
        <v>4.3035389999999998</v>
      </c>
      <c r="H66" s="226"/>
    </row>
    <row r="67" spans="2:18" x14ac:dyDescent="0.25">
      <c r="B67" s="247">
        <v>45569</v>
      </c>
      <c r="C67" s="248">
        <f>6.599516-2.29547</f>
        <v>4.3040460000000005</v>
      </c>
      <c r="H67" s="226"/>
      <c r="Q67" s="245"/>
      <c r="R67" s="245"/>
    </row>
    <row r="68" spans="2:18" x14ac:dyDescent="0.25">
      <c r="B68" s="247">
        <v>45570</v>
      </c>
      <c r="C68" s="248">
        <f>6.599516-2.29547</f>
        <v>4.3040460000000005</v>
      </c>
      <c r="H68" s="226"/>
    </row>
    <row r="69" spans="2:18" x14ac:dyDescent="0.25">
      <c r="B69" s="247">
        <v>45571</v>
      </c>
      <c r="C69" s="248">
        <f>6.599516-2.29547</f>
        <v>4.3040460000000005</v>
      </c>
      <c r="H69" s="226"/>
    </row>
    <row r="70" spans="2:18" x14ac:dyDescent="0.25">
      <c r="B70" s="247">
        <v>45572</v>
      </c>
      <c r="C70" s="248">
        <f>6.601037-2.29547</f>
        <v>4.3055669999999999</v>
      </c>
      <c r="H70" s="226"/>
    </row>
    <row r="71" spans="2:18" x14ac:dyDescent="0.25">
      <c r="B71" s="247">
        <v>45573</v>
      </c>
      <c r="C71" s="248">
        <f>6.59153-2.29547</f>
        <v>4.2960599999999998</v>
      </c>
      <c r="H71" s="226"/>
    </row>
    <row r="72" spans="2:18" x14ac:dyDescent="0.25">
      <c r="B72" s="247">
        <v>45574</v>
      </c>
      <c r="C72" s="248">
        <f>6.60205-2.29547</f>
        <v>4.3065800000000003</v>
      </c>
      <c r="H72" s="226"/>
    </row>
    <row r="73" spans="2:18" x14ac:dyDescent="0.25">
      <c r="B73" s="247">
        <v>45575</v>
      </c>
      <c r="C73" s="248">
        <f>6.602558-2.29547</f>
        <v>4.3070880000000002</v>
      </c>
      <c r="H73" s="226"/>
    </row>
    <row r="74" spans="2:18" x14ac:dyDescent="0.25">
      <c r="B74" s="247">
        <v>45576</v>
      </c>
      <c r="C74" s="248">
        <f>6.603065-2.29547</f>
        <v>4.3075950000000001</v>
      </c>
      <c r="H74" s="226"/>
    </row>
    <row r="75" spans="2:18" x14ac:dyDescent="0.25">
      <c r="B75" s="247">
        <v>45577</v>
      </c>
      <c r="C75" s="248">
        <f>6.603065-2.29547</f>
        <v>4.3075950000000001</v>
      </c>
      <c r="H75" s="226"/>
    </row>
    <row r="76" spans="2:18" x14ac:dyDescent="0.25">
      <c r="B76" s="247">
        <v>45578</v>
      </c>
      <c r="C76" s="248">
        <f>6.603065-2.29547</f>
        <v>4.3075950000000001</v>
      </c>
      <c r="H76" s="226"/>
    </row>
    <row r="77" spans="2:18" x14ac:dyDescent="0.25">
      <c r="B77" s="247">
        <v>45579</v>
      </c>
      <c r="C77" s="248">
        <f>6.603065-2.29547</f>
        <v>4.3075950000000001</v>
      </c>
      <c r="H77" s="226"/>
    </row>
    <row r="78" spans="2:18" x14ac:dyDescent="0.25">
      <c r="B78" s="247">
        <v>45580</v>
      </c>
      <c r="C78" s="248">
        <f>6.605095-2.29547</f>
        <v>4.3096250000000005</v>
      </c>
      <c r="H78" s="226"/>
    </row>
    <row r="79" spans="2:18" x14ac:dyDescent="0.25">
      <c r="B79" s="247">
        <v>45581</v>
      </c>
      <c r="C79" s="248">
        <f>6.605603-2.29547</f>
        <v>4.3101330000000004</v>
      </c>
    </row>
    <row r="80" spans="2:18" x14ac:dyDescent="0.25">
      <c r="B80" s="247">
        <v>45582</v>
      </c>
      <c r="C80" s="248">
        <f>6.636185-2.29547</f>
        <v>4.3407150000000003</v>
      </c>
    </row>
    <row r="81" spans="2:8" x14ac:dyDescent="0.25">
      <c r="B81" s="247">
        <v>45583</v>
      </c>
      <c r="C81" s="248">
        <f>6.606622-2.29547</f>
        <v>4.3111519999999999</v>
      </c>
    </row>
    <row r="82" spans="2:8" x14ac:dyDescent="0.25">
      <c r="B82" s="247">
        <v>45584</v>
      </c>
      <c r="C82" s="248">
        <f>6.606622-2.29547</f>
        <v>4.3111519999999999</v>
      </c>
    </row>
    <row r="83" spans="2:8" ht="14.4" x14ac:dyDescent="0.25">
      <c r="B83" s="247">
        <v>45585</v>
      </c>
      <c r="C83" s="248">
        <f>6.606622-2.29547</f>
        <v>4.3111519999999999</v>
      </c>
      <c r="H83" s="297"/>
    </row>
    <row r="84" spans="2:8" ht="14.4" x14ac:dyDescent="0.25">
      <c r="B84" s="247">
        <v>45586</v>
      </c>
      <c r="C84" s="248">
        <f>6.618175-2.29547</f>
        <v>4.322705</v>
      </c>
      <c r="H84" s="297"/>
    </row>
    <row r="85" spans="2:8" ht="14.4" x14ac:dyDescent="0.25">
      <c r="B85" s="247">
        <v>45587</v>
      </c>
      <c r="C85" s="248">
        <f>6.628716-2.29547</f>
        <v>4.3332459999999999</v>
      </c>
      <c r="H85" s="297"/>
    </row>
    <row r="86" spans="2:8" ht="14.4" x14ac:dyDescent="0.25">
      <c r="B86" s="247">
        <v>45588</v>
      </c>
      <c r="C86" s="248">
        <f>6.609165-2.29547</f>
        <v>4.3136950000000001</v>
      </c>
      <c r="H86" s="297"/>
    </row>
    <row r="87" spans="2:8" ht="14.4" x14ac:dyDescent="0.25">
      <c r="B87" s="247">
        <v>45589</v>
      </c>
      <c r="C87" s="248">
        <f>6.609673-2.29547</f>
        <v>4.314203</v>
      </c>
      <c r="H87" s="297"/>
    </row>
    <row r="88" spans="2:8" ht="14.4" x14ac:dyDescent="0.25">
      <c r="B88" s="247">
        <v>45590</v>
      </c>
      <c r="C88" s="248">
        <f>6.610182-2.29547</f>
        <v>4.3147120000000001</v>
      </c>
      <c r="H88" s="297"/>
    </row>
    <row r="89" spans="2:8" ht="14.4" x14ac:dyDescent="0.25">
      <c r="B89" s="247">
        <v>45591</v>
      </c>
      <c r="C89" s="248">
        <f>6.610182-2.29547</f>
        <v>4.3147120000000001</v>
      </c>
      <c r="H89" s="297"/>
    </row>
    <row r="90" spans="2:8" ht="14.4" x14ac:dyDescent="0.25">
      <c r="B90" s="247">
        <v>45592</v>
      </c>
      <c r="C90" s="248">
        <f>6.610182-2.29547</f>
        <v>4.3147120000000001</v>
      </c>
      <c r="H90" s="297"/>
    </row>
    <row r="91" spans="2:8" ht="14.4" x14ac:dyDescent="0.25">
      <c r="B91" s="247">
        <v>45593</v>
      </c>
      <c r="C91" s="248">
        <f>6.59547-2.29547</f>
        <v>4.3</v>
      </c>
      <c r="H91" s="297"/>
    </row>
    <row r="92" spans="2:8" ht="14.4" x14ac:dyDescent="0.25">
      <c r="B92" s="247">
        <v>45594</v>
      </c>
      <c r="C92" s="248">
        <f>6.595977-2.29547</f>
        <v>4.3005070000000005</v>
      </c>
      <c r="H92" s="297"/>
    </row>
    <row r="93" spans="2:8" ht="14.4" x14ac:dyDescent="0.25">
      <c r="B93" s="247">
        <v>45595</v>
      </c>
      <c r="C93" s="248">
        <f>6.616488-2.29547</f>
        <v>4.3210180000000005</v>
      </c>
      <c r="H93" s="297"/>
    </row>
    <row r="94" spans="2:8" ht="14.4" x14ac:dyDescent="0.25">
      <c r="B94" s="247">
        <v>45596</v>
      </c>
      <c r="C94" s="248">
        <f>6.106819-2.29547</f>
        <v>3.8113489999999999</v>
      </c>
      <c r="H94" s="297"/>
    </row>
    <row r="95" spans="2:8" ht="14.4" x14ac:dyDescent="0.25">
      <c r="B95" s="247">
        <v>45597</v>
      </c>
      <c r="C95" s="248">
        <f>6.107217-2.29547</f>
        <v>3.8117470000000004</v>
      </c>
      <c r="H95" s="297"/>
    </row>
    <row r="96" spans="2:8" ht="14.4" x14ac:dyDescent="0.25">
      <c r="B96" s="247">
        <v>45598</v>
      </c>
      <c r="C96" s="248">
        <f>6.107217-2.29547</f>
        <v>3.8117470000000004</v>
      </c>
      <c r="H96" s="297"/>
    </row>
    <row r="97" spans="2:8" ht="14.4" x14ac:dyDescent="0.25">
      <c r="B97" s="247">
        <v>45599</v>
      </c>
      <c r="C97" s="248">
        <f>6.107217-2.29547</f>
        <v>3.8117470000000004</v>
      </c>
      <c r="H97" s="297"/>
    </row>
    <row r="98" spans="2:8" ht="14.4" x14ac:dyDescent="0.25">
      <c r="B98" s="247">
        <v>45600</v>
      </c>
      <c r="C98" s="248">
        <f>6.10841-2.29547</f>
        <v>3.8129400000000002</v>
      </c>
      <c r="H98" s="297"/>
    </row>
    <row r="99" spans="2:8" ht="14.4" x14ac:dyDescent="0.25">
      <c r="B99" s="247">
        <v>45601</v>
      </c>
      <c r="C99" s="248">
        <f>6.108808-2.29547</f>
        <v>3.8133379999999999</v>
      </c>
      <c r="H99" s="297"/>
    </row>
    <row r="100" spans="2:8" ht="14.4" x14ac:dyDescent="0.25">
      <c r="B100" s="247">
        <v>45602</v>
      </c>
      <c r="C100" s="248">
        <f>6.109206-2.29547</f>
        <v>3.8137360000000005</v>
      </c>
      <c r="H100" s="297"/>
    </row>
    <row r="101" spans="2:8" ht="14.4" x14ac:dyDescent="0.25">
      <c r="B101" s="247">
        <v>45603</v>
      </c>
      <c r="C101" s="248">
        <f>6.139637-2.29547</f>
        <v>3.8441669999999997</v>
      </c>
      <c r="H101" s="297"/>
    </row>
    <row r="102" spans="2:8" ht="14.4" x14ac:dyDescent="0.25">
      <c r="B102" s="247">
        <v>45604</v>
      </c>
      <c r="C102" s="248">
        <f>6.120018-2.29547</f>
        <v>3.8245480000000001</v>
      </c>
      <c r="H102" s="297"/>
    </row>
    <row r="103" spans="2:8" x14ac:dyDescent="0.25">
      <c r="B103" s="247">
        <v>45605</v>
      </c>
      <c r="C103" s="248">
        <f>6.120018-2.29547</f>
        <v>3.8245480000000001</v>
      </c>
    </row>
    <row r="104" spans="2:8" x14ac:dyDescent="0.25">
      <c r="B104" s="247">
        <v>45606</v>
      </c>
      <c r="C104" s="248">
        <f>6.120018-2.29547</f>
        <v>3.8245480000000001</v>
      </c>
    </row>
    <row r="105" spans="2:8" x14ac:dyDescent="0.25">
      <c r="B105" s="247">
        <v>45607</v>
      </c>
      <c r="C105" s="248">
        <f>6.120018-2.29547</f>
        <v>3.8245480000000001</v>
      </c>
    </row>
    <row r="106" spans="2:8" x14ac:dyDescent="0.25">
      <c r="B106" s="247">
        <v>45608</v>
      </c>
      <c r="C106" s="248">
        <f>6.111603-2.29547</f>
        <v>3.8161329999999998</v>
      </c>
    </row>
    <row r="107" spans="2:8" x14ac:dyDescent="0.25">
      <c r="B107" s="247">
        <v>45609</v>
      </c>
      <c r="C107" s="248">
        <f>6.101984-2.29547</f>
        <v>3.806514</v>
      </c>
    </row>
    <row r="108" spans="2:8" x14ac:dyDescent="0.25">
      <c r="B108" s="247">
        <v>45610</v>
      </c>
      <c r="C108" s="248">
        <f>6.112398-2.29547</f>
        <v>3.8169279999999999</v>
      </c>
    </row>
    <row r="109" spans="2:8" x14ac:dyDescent="0.25">
      <c r="B109" s="247">
        <v>45611</v>
      </c>
      <c r="C109" s="248">
        <f>6.102777-2.29547</f>
        <v>3.8073069999999998</v>
      </c>
    </row>
    <row r="110" spans="2:8" x14ac:dyDescent="0.25">
      <c r="B110" s="247">
        <v>45612</v>
      </c>
      <c r="C110" s="248">
        <f>6.102777-2.29547</f>
        <v>3.8073069999999998</v>
      </c>
    </row>
    <row r="111" spans="2:8" x14ac:dyDescent="0.25">
      <c r="B111" s="247">
        <v>45613</v>
      </c>
      <c r="C111" s="248">
        <f>6.102777-2.29547</f>
        <v>3.8073069999999998</v>
      </c>
    </row>
    <row r="112" spans="2:8" x14ac:dyDescent="0.25">
      <c r="B112" s="247">
        <v>45614</v>
      </c>
      <c r="C112" s="248">
        <f>6.103967-2.29547</f>
        <v>3.808497</v>
      </c>
    </row>
    <row r="113" spans="2:9" x14ac:dyDescent="0.25">
      <c r="B113" s="247">
        <v>45615</v>
      </c>
      <c r="C113" s="248">
        <f>6.104363-2.29547</f>
        <v>3.8088930000000003</v>
      </c>
    </row>
    <row r="114" spans="2:9" x14ac:dyDescent="0.25">
      <c r="B114" s="247">
        <v>45616</v>
      </c>
      <c r="C114" s="248">
        <f>6.10476-2.29547</f>
        <v>3.8092899999999998</v>
      </c>
    </row>
    <row r="115" spans="2:9" x14ac:dyDescent="0.25">
      <c r="B115" s="247">
        <v>45617</v>
      </c>
      <c r="C115" s="248">
        <f>6.095131-2.29547</f>
        <v>3.7996610000000004</v>
      </c>
    </row>
    <row r="116" spans="2:9" x14ac:dyDescent="0.25">
      <c r="B116" s="247">
        <v>45618</v>
      </c>
      <c r="C116" s="248">
        <f>6.095525-2.29547</f>
        <v>3.8000550000000004</v>
      </c>
    </row>
    <row r="117" spans="2:9" x14ac:dyDescent="0.25">
      <c r="B117" s="247">
        <v>45619</v>
      </c>
      <c r="C117" s="248">
        <f>6.095525-2.29547</f>
        <v>3.8000550000000004</v>
      </c>
    </row>
    <row r="118" spans="2:9" x14ac:dyDescent="0.25">
      <c r="B118" s="247">
        <v>45620</v>
      </c>
      <c r="C118" s="248">
        <f>6.095525-2.29547</f>
        <v>3.8000550000000004</v>
      </c>
    </row>
    <row r="119" spans="2:9" x14ac:dyDescent="0.25">
      <c r="B119" s="247">
        <v>45621</v>
      </c>
      <c r="C119" s="248">
        <f>6.096709-2.29547</f>
        <v>3.8012389999999998</v>
      </c>
      <c r="E119" s="226" t="s">
        <v>249</v>
      </c>
    </row>
    <row r="120" spans="2:9" x14ac:dyDescent="0.25">
      <c r="B120" s="247">
        <v>45622</v>
      </c>
      <c r="C120" s="248">
        <f>6.07547-2.29547</f>
        <v>3.7800000000000002</v>
      </c>
      <c r="E120" s="248">
        <f>6.07704-2.29547</f>
        <v>3.7815700000000003</v>
      </c>
      <c r="I120" s="226"/>
    </row>
    <row r="121" spans="2:9" x14ac:dyDescent="0.25">
      <c r="B121" s="247">
        <v>45623</v>
      </c>
      <c r="C121" s="248">
        <f>6.085862-2.29547</f>
        <v>3.7903919999999998</v>
      </c>
      <c r="E121" s="248">
        <f>6.087437-2.29547</f>
        <v>3.7919670000000005</v>
      </c>
      <c r="I121" s="226"/>
    </row>
    <row r="122" spans="2:9" x14ac:dyDescent="0.25">
      <c r="B122" s="247">
        <v>45624</v>
      </c>
      <c r="C122" s="248">
        <f>6.086256-2.29547</f>
        <v>3.7907859999999998</v>
      </c>
      <c r="E122" s="248">
        <f>6.087831-2.29547</f>
        <v>3.7923610000000005</v>
      </c>
      <c r="I122" s="226"/>
    </row>
    <row r="123" spans="2:9" x14ac:dyDescent="0.25">
      <c r="B123" s="247">
        <v>45625</v>
      </c>
      <c r="C123" s="248">
        <f>6.076647-2.29547</f>
        <v>3.7811770000000005</v>
      </c>
      <c r="E123" s="248">
        <f>6.078217-2.29547</f>
        <v>3.7827470000000005</v>
      </c>
      <c r="I123" s="226"/>
    </row>
    <row r="124" spans="2:9" x14ac:dyDescent="0.25">
      <c r="B124" s="247">
        <v>45626</v>
      </c>
      <c r="C124" s="248">
        <f>6.076647-2.29547</f>
        <v>3.7811770000000005</v>
      </c>
      <c r="E124" s="248">
        <f>6.078217-2.29547</f>
        <v>3.7827470000000005</v>
      </c>
      <c r="I124" s="226"/>
    </row>
    <row r="125" spans="2:9" x14ac:dyDescent="0.25">
      <c r="B125" s="247">
        <v>45627</v>
      </c>
      <c r="C125" s="248">
        <f>6.076647-2.29547</f>
        <v>3.7811770000000005</v>
      </c>
      <c r="E125" s="248">
        <f>6.078217-2.29547</f>
        <v>3.7827470000000005</v>
      </c>
      <c r="I125" s="226"/>
    </row>
    <row r="126" spans="2:9" x14ac:dyDescent="0.25">
      <c r="B126" s="247">
        <v>45628</v>
      </c>
      <c r="C126" s="248">
        <f>6.077821-2.29547</f>
        <v>3.7823510000000002</v>
      </c>
      <c r="E126" s="248">
        <f>6.079392-2.29547</f>
        <v>3.7839220000000005</v>
      </c>
      <c r="I126" s="226"/>
    </row>
    <row r="127" spans="2:9" x14ac:dyDescent="0.25">
      <c r="B127" s="247">
        <v>45629</v>
      </c>
      <c r="C127" s="248">
        <f>6.078213-2.29547</f>
        <v>3.782743</v>
      </c>
      <c r="E127" s="248">
        <f>6.079784-2.29547</f>
        <v>3.7843140000000002</v>
      </c>
      <c r="I127" s="226"/>
    </row>
    <row r="128" spans="2:9" x14ac:dyDescent="0.25">
      <c r="B128" s="247">
        <v>45630</v>
      </c>
      <c r="C128" s="248">
        <f>6.078605-2.29547</f>
        <v>3.7831349999999997</v>
      </c>
      <c r="E128" s="248">
        <f>6.080176-2.29547</f>
        <v>3.7847059999999999</v>
      </c>
      <c r="I128" s="226"/>
    </row>
    <row r="129" spans="2:9" x14ac:dyDescent="0.25">
      <c r="B129" s="247">
        <v>45631</v>
      </c>
      <c r="C129" s="248">
        <f>6.078997-2.29547</f>
        <v>3.7835270000000003</v>
      </c>
      <c r="E129" s="248">
        <f>6.080568-2.29547</f>
        <v>3.7850980000000005</v>
      </c>
      <c r="I129" s="226"/>
    </row>
    <row r="130" spans="2:9" x14ac:dyDescent="0.25">
      <c r="B130" s="247">
        <v>45632</v>
      </c>
      <c r="C130" s="248">
        <f>6.079388-2.29547</f>
        <v>3.7839179999999999</v>
      </c>
      <c r="E130" s="248">
        <f>6.08096-2.29547</f>
        <v>3.7854900000000002</v>
      </c>
      <c r="I130" s="226"/>
    </row>
    <row r="131" spans="2:9" x14ac:dyDescent="0.25">
      <c r="B131" s="247">
        <v>45633</v>
      </c>
      <c r="C131" s="248">
        <f>6.079388-2.29547</f>
        <v>3.7839179999999999</v>
      </c>
      <c r="E131" s="248">
        <f>6.08096-2.29547</f>
        <v>3.7854900000000002</v>
      </c>
      <c r="I131" s="226"/>
    </row>
    <row r="132" spans="2:9" x14ac:dyDescent="0.25">
      <c r="B132" s="247">
        <v>45634</v>
      </c>
      <c r="C132" s="248">
        <f>6.079388-2.29547</f>
        <v>3.7839179999999999</v>
      </c>
      <c r="E132" s="248">
        <f>6.08096-2.29547</f>
        <v>3.7854900000000002</v>
      </c>
      <c r="I132" s="226"/>
    </row>
    <row r="133" spans="2:9" x14ac:dyDescent="0.25">
      <c r="B133" s="247">
        <v>45635</v>
      </c>
      <c r="C133" s="248">
        <f>6.080564-2.29547</f>
        <v>3.785094</v>
      </c>
      <c r="E133" s="248">
        <f>6.082136-2.29547</f>
        <v>3.7866660000000003</v>
      </c>
      <c r="I133" s="226"/>
    </row>
    <row r="134" spans="2:9" x14ac:dyDescent="0.25">
      <c r="B134" s="247">
        <v>45636</v>
      </c>
      <c r="C134" s="248">
        <f>6.080956-2.29547</f>
        <v>3.7854859999999997</v>
      </c>
      <c r="E134" s="248">
        <f>6.082528-2.29547</f>
        <v>3.787058</v>
      </c>
      <c r="I134" s="226"/>
    </row>
    <row r="135" spans="2:9" x14ac:dyDescent="0.25">
      <c r="B135" s="247">
        <v>45637</v>
      </c>
      <c r="C135" s="248">
        <f>6.091364-2.29547</f>
        <v>3.7958939999999997</v>
      </c>
      <c r="E135" s="248">
        <f>6.09294-2.29547</f>
        <v>3.7974699999999997</v>
      </c>
      <c r="I135" s="226"/>
    </row>
    <row r="136" spans="2:9" x14ac:dyDescent="0.25">
      <c r="B136" s="247">
        <v>45638</v>
      </c>
      <c r="C136" s="248">
        <f>6.081741-2.29547</f>
        <v>3.7862710000000002</v>
      </c>
      <c r="E136" s="248">
        <f>6.083314-2.29547</f>
        <v>3.7878439999999998</v>
      </c>
      <c r="I136" s="226"/>
    </row>
    <row r="137" spans="2:9" x14ac:dyDescent="0.25">
      <c r="B137" s="247">
        <v>45639</v>
      </c>
      <c r="C137" s="248">
        <f>6.092151-2.29547</f>
        <v>3.7966810000000004</v>
      </c>
      <c r="E137" s="248">
        <f>6.093728-2.29547</f>
        <v>3.7982579999999997</v>
      </c>
      <c r="I137" s="226"/>
    </row>
    <row r="138" spans="2:9" x14ac:dyDescent="0.25">
      <c r="B138" s="247">
        <v>45640</v>
      </c>
      <c r="C138" s="248">
        <f>6.092151-2.29547</f>
        <v>3.7966810000000004</v>
      </c>
      <c r="E138" s="248">
        <f>6.093728-2.29547</f>
        <v>3.7982579999999997</v>
      </c>
      <c r="I138" s="226"/>
    </row>
    <row r="139" spans="2:9" x14ac:dyDescent="0.25">
      <c r="B139" s="247">
        <v>45641</v>
      </c>
      <c r="C139" s="248">
        <f>6.092151-2.29547</f>
        <v>3.7966810000000004</v>
      </c>
      <c r="E139" s="248">
        <f>6.093728-2.29547</f>
        <v>3.7982579999999997</v>
      </c>
      <c r="I139" s="226"/>
    </row>
    <row r="140" spans="2:9" x14ac:dyDescent="0.25">
      <c r="B140" s="247">
        <v>45642</v>
      </c>
      <c r="C140" s="248">
        <f>6.093334-2.29547</f>
        <v>3.7978639999999997</v>
      </c>
      <c r="E140" s="248">
        <f>6.094911-2.29547</f>
        <v>3.7994409999999998</v>
      </c>
      <c r="I140" s="226"/>
    </row>
    <row r="141" spans="2:9" x14ac:dyDescent="0.25">
      <c r="B141" s="247">
        <v>45643</v>
      </c>
      <c r="C141" s="248">
        <f>6.093728-2.29547</f>
        <v>3.7982579999999997</v>
      </c>
      <c r="E141" s="248">
        <f>6.095306-2.29547</f>
        <v>3.799836</v>
      </c>
    </row>
    <row r="142" spans="2:9" x14ac:dyDescent="0.25">
      <c r="B142" s="247">
        <v>45644</v>
      </c>
      <c r="C142" s="248">
        <f>6.084099-2.29547</f>
        <v>3.7886290000000002</v>
      </c>
      <c r="E142" s="248">
        <f>6.085673-2.29547</f>
        <v>3.790203</v>
      </c>
    </row>
    <row r="143" spans="2:9" x14ac:dyDescent="0.25">
      <c r="B143" s="247">
        <v>45645</v>
      </c>
      <c r="C143" s="248">
        <f>5.593322-2.29547</f>
        <v>3.2978519999999998</v>
      </c>
      <c r="E143" s="248">
        <f>5.594692-2.29547</f>
        <v>3.2992220000000003</v>
      </c>
    </row>
    <row r="144" spans="2:9" x14ac:dyDescent="0.25">
      <c r="B144" s="247">
        <v>45646</v>
      </c>
      <c r="C144" s="248">
        <f>5.59362-2.29547</f>
        <v>3.2981499999999997</v>
      </c>
      <c r="E144" s="248">
        <f>5.59499-2.29547</f>
        <v>3.2995200000000002</v>
      </c>
    </row>
    <row r="145" spans="2:17" x14ac:dyDescent="0.25">
      <c r="B145" s="247">
        <v>45647</v>
      </c>
      <c r="C145" s="248">
        <f>5.59362-2.29547</f>
        <v>3.2981499999999997</v>
      </c>
      <c r="E145" s="248">
        <f>5.59499-2.29547</f>
        <v>3.2995200000000002</v>
      </c>
    </row>
    <row r="146" spans="2:17" x14ac:dyDescent="0.25">
      <c r="B146" s="247">
        <v>45648</v>
      </c>
      <c r="C146" s="248">
        <f>5.59362-2.29547</f>
        <v>3.2981499999999997</v>
      </c>
      <c r="E146" s="248">
        <f>5.59499-2.29547</f>
        <v>3.2995200000000002</v>
      </c>
    </row>
    <row r="147" spans="2:17" x14ac:dyDescent="0.25">
      <c r="B147" s="247">
        <v>45649</v>
      </c>
      <c r="C147" s="248">
        <f>5.604539-2.29547</f>
        <v>3.309069</v>
      </c>
      <c r="E147" s="248">
        <f>5.605913-2.29547</f>
        <v>3.3104430000000002</v>
      </c>
    </row>
    <row r="148" spans="2:17" x14ac:dyDescent="0.25">
      <c r="B148" s="247">
        <v>45650</v>
      </c>
      <c r="C148" s="248">
        <f>5.604838-2.29547</f>
        <v>3.3093680000000001</v>
      </c>
      <c r="E148" s="248">
        <f>5.606213-2.29547</f>
        <v>3.3107430000000004</v>
      </c>
    </row>
    <row r="149" spans="2:17" x14ac:dyDescent="0.25">
      <c r="B149" s="247">
        <v>45651</v>
      </c>
      <c r="C149" s="248">
        <f>5.604838-2.29547</f>
        <v>3.3093680000000001</v>
      </c>
      <c r="E149" s="248">
        <f>5.606213-2.29547</f>
        <v>3.3107430000000004</v>
      </c>
    </row>
    <row r="150" spans="2:17" x14ac:dyDescent="0.25">
      <c r="B150" s="247">
        <v>45652</v>
      </c>
      <c r="C150" s="248">
        <f>5.604838-2.29547</f>
        <v>3.3093680000000001</v>
      </c>
      <c r="E150" s="248">
        <f>5.606213-2.29547</f>
        <v>3.3107430000000004</v>
      </c>
    </row>
    <row r="151" spans="2:17" x14ac:dyDescent="0.25">
      <c r="B151" s="247">
        <v>45653</v>
      </c>
      <c r="C151" s="248">
        <v>3.3299999999999996</v>
      </c>
      <c r="N151" s="436"/>
      <c r="Q151" s="244"/>
    </row>
    <row r="152" spans="2:17" x14ac:dyDescent="0.25">
      <c r="B152" s="247">
        <v>45654</v>
      </c>
      <c r="C152" s="248">
        <v>3.3299999999999996</v>
      </c>
      <c r="N152" s="436"/>
      <c r="Q152" s="244"/>
    </row>
    <row r="153" spans="2:17" x14ac:dyDescent="0.25">
      <c r="B153" s="247">
        <v>45655</v>
      </c>
      <c r="C153" s="248">
        <v>3.3299999999999996</v>
      </c>
      <c r="N153" s="436"/>
      <c r="Q153" s="244"/>
    </row>
    <row r="154" spans="2:17" x14ac:dyDescent="0.25">
      <c r="B154" s="247">
        <v>45656</v>
      </c>
      <c r="C154" s="248">
        <v>3.3309110000000004</v>
      </c>
      <c r="N154" s="436"/>
      <c r="Q154" s="244"/>
    </row>
    <row r="155" spans="2:17" x14ac:dyDescent="0.25">
      <c r="B155" s="247">
        <v>45657</v>
      </c>
      <c r="C155" s="248">
        <v>3.3312149999999998</v>
      </c>
      <c r="N155" s="436"/>
      <c r="Q155" s="244"/>
    </row>
    <row r="156" spans="2:17" x14ac:dyDescent="0.25">
      <c r="B156" s="247">
        <v>45658</v>
      </c>
      <c r="C156" s="248">
        <v>3.3312149999999998</v>
      </c>
      <c r="N156" s="436"/>
      <c r="Q156" s="244"/>
    </row>
    <row r="157" spans="2:17" x14ac:dyDescent="0.25">
      <c r="B157" s="247">
        <v>45659</v>
      </c>
      <c r="C157" s="248">
        <v>3.3218179999999999</v>
      </c>
      <c r="N157" s="436"/>
      <c r="Q157" s="244"/>
    </row>
    <row r="158" spans="2:17" x14ac:dyDescent="0.25">
      <c r="B158" s="247">
        <v>45660</v>
      </c>
      <c r="C158" s="248">
        <v>3.2921010000000002</v>
      </c>
      <c r="N158" s="436"/>
      <c r="Q158" s="244"/>
    </row>
    <row r="159" spans="2:17" x14ac:dyDescent="0.25">
      <c r="B159" s="247">
        <v>45661</v>
      </c>
      <c r="C159" s="248">
        <v>3.2921010000000002</v>
      </c>
      <c r="N159" s="436"/>
      <c r="Q159" s="244"/>
    </row>
    <row r="160" spans="2:17" x14ac:dyDescent="0.25">
      <c r="B160" s="247">
        <v>45662</v>
      </c>
      <c r="C160" s="248">
        <v>3.2921010000000002</v>
      </c>
      <c r="N160" s="436"/>
      <c r="Q160" s="244"/>
    </row>
    <row r="161" spans="2:17" x14ac:dyDescent="0.25">
      <c r="B161" s="247">
        <v>45663</v>
      </c>
      <c r="C161" s="248">
        <v>3.3130090000000001</v>
      </c>
      <c r="N161" s="436"/>
      <c r="Q161" s="244"/>
    </row>
    <row r="162" spans="2:17" x14ac:dyDescent="0.25">
      <c r="B162" s="247">
        <v>45664</v>
      </c>
      <c r="C162" s="248">
        <v>3.3133090000000003</v>
      </c>
      <c r="N162" s="436"/>
      <c r="Q162" s="244"/>
    </row>
    <row r="163" spans="2:17" x14ac:dyDescent="0.25">
      <c r="B163" s="247">
        <v>45665</v>
      </c>
      <c r="C163" s="248">
        <v>3.3236210000000002</v>
      </c>
      <c r="N163" s="436"/>
      <c r="Q163" s="244"/>
    </row>
    <row r="164" spans="2:17" x14ac:dyDescent="0.25">
      <c r="B164" s="247">
        <v>45666</v>
      </c>
      <c r="C164" s="248">
        <v>3.3039000000000001</v>
      </c>
      <c r="N164" s="436"/>
      <c r="Q164" s="244"/>
    </row>
    <row r="165" spans="2:17" x14ac:dyDescent="0.25">
      <c r="B165" s="247">
        <v>45667</v>
      </c>
      <c r="C165" s="248">
        <v>3.2941860000000003</v>
      </c>
      <c r="N165" s="436"/>
      <c r="Q165" s="244"/>
    </row>
    <row r="166" spans="2:17" x14ac:dyDescent="0.25">
      <c r="B166" s="247">
        <v>45668</v>
      </c>
      <c r="C166" s="248">
        <v>3.2941860000000003</v>
      </c>
      <c r="N166" s="436"/>
      <c r="Q166" s="244"/>
    </row>
    <row r="167" spans="2:17" x14ac:dyDescent="0.25">
      <c r="B167" s="247">
        <v>45669</v>
      </c>
      <c r="C167" s="248">
        <v>3.2941860000000003</v>
      </c>
      <c r="N167" s="436"/>
      <c r="Q167" s="244"/>
    </row>
    <row r="168" spans="2:17" x14ac:dyDescent="0.25">
      <c r="B168" s="247">
        <v>45670</v>
      </c>
      <c r="C168" s="248">
        <v>3.2950759999999994</v>
      </c>
      <c r="N168" s="436"/>
      <c r="Q168" s="244"/>
    </row>
    <row r="169" spans="2:17" x14ac:dyDescent="0.25">
      <c r="B169" s="247">
        <v>45671</v>
      </c>
      <c r="C169" s="248">
        <v>3.2953730000000001</v>
      </c>
      <c r="N169" s="436"/>
      <c r="Q169" s="244"/>
    </row>
    <row r="170" spans="2:17" x14ac:dyDescent="0.25">
      <c r="B170" s="247">
        <v>45672</v>
      </c>
      <c r="C170" s="248">
        <v>3.2856530000000008</v>
      </c>
      <c r="N170" s="436"/>
      <c r="Q170" s="244"/>
    </row>
    <row r="171" spans="2:17" x14ac:dyDescent="0.25">
      <c r="B171" s="247">
        <v>45673</v>
      </c>
      <c r="C171" s="248">
        <v>3.2859479999999994</v>
      </c>
      <c r="N171" s="436"/>
      <c r="Q171" s="244"/>
    </row>
    <row r="172" spans="2:17" x14ac:dyDescent="0.25">
      <c r="B172" s="247">
        <v>45674</v>
      </c>
      <c r="C172" s="248">
        <v>3.2962630000000006</v>
      </c>
    </row>
    <row r="173" spans="2:17" x14ac:dyDescent="0.25">
      <c r="B173" s="247">
        <v>45675</v>
      </c>
      <c r="C173" s="248">
        <v>3.2962630000000006</v>
      </c>
    </row>
    <row r="174" spans="2:17" x14ac:dyDescent="0.25">
      <c r="B174" s="247">
        <v>45676</v>
      </c>
      <c r="C174" s="248">
        <v>3.2962630000000006</v>
      </c>
    </row>
    <row r="175" spans="2:17" x14ac:dyDescent="0.25">
      <c r="B175" s="247">
        <v>45677</v>
      </c>
      <c r="C175" s="248">
        <v>3.2971540000000008</v>
      </c>
    </row>
    <row r="176" spans="2:17" x14ac:dyDescent="0.25">
      <c r="B176" s="247">
        <v>45678</v>
      </c>
      <c r="C176" s="248">
        <v>3.2974509999999997</v>
      </c>
    </row>
    <row r="177" spans="2:3" x14ac:dyDescent="0.25">
      <c r="B177" s="247">
        <v>45679</v>
      </c>
      <c r="C177" s="248">
        <v>3.3077720000000004</v>
      </c>
    </row>
    <row r="178" spans="2:3" x14ac:dyDescent="0.25">
      <c r="B178" s="247">
        <v>45680</v>
      </c>
      <c r="C178" s="248">
        <v>3.308071</v>
      </c>
    </row>
    <row r="179" spans="2:3" x14ac:dyDescent="0.25">
      <c r="B179" s="247">
        <v>45681</v>
      </c>
      <c r="C179" s="248">
        <v>3.3083700000000009</v>
      </c>
    </row>
    <row r="180" spans="2:3" x14ac:dyDescent="0.25">
      <c r="B180" s="247">
        <v>45682</v>
      </c>
      <c r="C180" s="248">
        <v>3.3083700000000009</v>
      </c>
    </row>
    <row r="181" spans="2:3" x14ac:dyDescent="0.25">
      <c r="B181" s="247">
        <v>45683</v>
      </c>
      <c r="C181" s="248">
        <v>3.3083700000000009</v>
      </c>
    </row>
    <row r="182" spans="2:3" x14ac:dyDescent="0.25">
      <c r="B182" s="245">
        <v>45684</v>
      </c>
      <c r="C182" s="244">
        <f t="shared" ref="C151:C183" si="0">C181</f>
        <v>3.3083700000000009</v>
      </c>
    </row>
    <row r="183" spans="2:3" x14ac:dyDescent="0.25">
      <c r="B183" s="245">
        <v>45685</v>
      </c>
      <c r="C183" s="244">
        <f t="shared" si="0"/>
        <v>3.3083700000000009</v>
      </c>
    </row>
    <row r="184" spans="2:3" x14ac:dyDescent="0.25">
      <c r="B184" s="245">
        <v>45686</v>
      </c>
      <c r="C184" s="303">
        <f>C183-0.25</f>
        <v>3.0583700000000009</v>
      </c>
    </row>
    <row r="185" spans="2:3" x14ac:dyDescent="0.25">
      <c r="B185" s="245">
        <v>45687</v>
      </c>
      <c r="C185" s="303">
        <f>C184</f>
        <v>3.0583700000000009</v>
      </c>
    </row>
    <row r="186" spans="2:3" x14ac:dyDescent="0.25">
      <c r="B186" s="245">
        <v>45688</v>
      </c>
      <c r="C186" s="303">
        <f t="shared" ref="C186:C225" si="1">C185</f>
        <v>3.0583700000000009</v>
      </c>
    </row>
    <row r="187" spans="2:3" x14ac:dyDescent="0.25">
      <c r="B187" s="245">
        <v>45689</v>
      </c>
      <c r="C187" s="303">
        <f t="shared" si="1"/>
        <v>3.0583700000000009</v>
      </c>
    </row>
    <row r="188" spans="2:3" x14ac:dyDescent="0.25">
      <c r="B188" s="245">
        <v>45690</v>
      </c>
      <c r="C188" s="303">
        <f t="shared" si="1"/>
        <v>3.0583700000000009</v>
      </c>
    </row>
    <row r="189" spans="2:3" x14ac:dyDescent="0.25">
      <c r="B189" s="245">
        <v>45691</v>
      </c>
      <c r="C189" s="303">
        <f t="shared" si="1"/>
        <v>3.0583700000000009</v>
      </c>
    </row>
    <row r="190" spans="2:3" x14ac:dyDescent="0.25">
      <c r="B190" s="245">
        <v>45692</v>
      </c>
      <c r="C190" s="303">
        <f t="shared" si="1"/>
        <v>3.0583700000000009</v>
      </c>
    </row>
    <row r="191" spans="2:3" x14ac:dyDescent="0.25">
      <c r="B191" s="245">
        <v>45693</v>
      </c>
      <c r="C191" s="303">
        <f t="shared" si="1"/>
        <v>3.0583700000000009</v>
      </c>
    </row>
    <row r="192" spans="2:3" x14ac:dyDescent="0.25">
      <c r="B192" s="245">
        <v>45694</v>
      </c>
      <c r="C192" s="303">
        <f t="shared" si="1"/>
        <v>3.0583700000000009</v>
      </c>
    </row>
    <row r="193" spans="2:3" x14ac:dyDescent="0.25">
      <c r="B193" s="245">
        <v>45695</v>
      </c>
      <c r="C193" s="303">
        <f t="shared" si="1"/>
        <v>3.0583700000000009</v>
      </c>
    </row>
    <row r="194" spans="2:3" x14ac:dyDescent="0.25">
      <c r="B194" s="245">
        <v>45696</v>
      </c>
      <c r="C194" s="303">
        <f t="shared" si="1"/>
        <v>3.0583700000000009</v>
      </c>
    </row>
    <row r="195" spans="2:3" x14ac:dyDescent="0.25">
      <c r="B195" s="245">
        <v>45697</v>
      </c>
      <c r="C195" s="303">
        <f t="shared" si="1"/>
        <v>3.0583700000000009</v>
      </c>
    </row>
    <row r="196" spans="2:3" x14ac:dyDescent="0.25">
      <c r="B196" s="245">
        <v>45698</v>
      </c>
      <c r="C196" s="303">
        <f t="shared" si="1"/>
        <v>3.0583700000000009</v>
      </c>
    </row>
    <row r="197" spans="2:3" x14ac:dyDescent="0.25">
      <c r="B197" s="245">
        <v>45699</v>
      </c>
      <c r="C197" s="303">
        <f t="shared" si="1"/>
        <v>3.0583700000000009</v>
      </c>
    </row>
    <row r="198" spans="2:3" x14ac:dyDescent="0.25">
      <c r="B198" s="245">
        <v>45700</v>
      </c>
      <c r="C198" s="303">
        <f t="shared" si="1"/>
        <v>3.0583700000000009</v>
      </c>
    </row>
    <row r="199" spans="2:3" x14ac:dyDescent="0.25">
      <c r="B199" s="245">
        <v>45701</v>
      </c>
      <c r="C199" s="303">
        <f t="shared" si="1"/>
        <v>3.0583700000000009</v>
      </c>
    </row>
    <row r="200" spans="2:3" x14ac:dyDescent="0.25">
      <c r="B200" s="245">
        <v>45702</v>
      </c>
      <c r="C200" s="303">
        <f t="shared" si="1"/>
        <v>3.0583700000000009</v>
      </c>
    </row>
    <row r="201" spans="2:3" x14ac:dyDescent="0.25">
      <c r="B201" s="245">
        <v>45703</v>
      </c>
      <c r="C201" s="303">
        <f t="shared" si="1"/>
        <v>3.0583700000000009</v>
      </c>
    </row>
    <row r="202" spans="2:3" x14ac:dyDescent="0.25">
      <c r="B202" s="245">
        <v>45704</v>
      </c>
      <c r="C202" s="303">
        <f t="shared" si="1"/>
        <v>3.0583700000000009</v>
      </c>
    </row>
    <row r="203" spans="2:3" x14ac:dyDescent="0.25">
      <c r="B203" s="245">
        <v>45705</v>
      </c>
      <c r="C203" s="303">
        <f t="shared" si="1"/>
        <v>3.0583700000000009</v>
      </c>
    </row>
    <row r="204" spans="2:3" x14ac:dyDescent="0.25">
      <c r="B204" s="245">
        <v>45706</v>
      </c>
      <c r="C204" s="303">
        <f t="shared" si="1"/>
        <v>3.0583700000000009</v>
      </c>
    </row>
    <row r="205" spans="2:3" x14ac:dyDescent="0.25">
      <c r="B205" s="245">
        <v>45707</v>
      </c>
      <c r="C205" s="303">
        <f t="shared" si="1"/>
        <v>3.0583700000000009</v>
      </c>
    </row>
    <row r="206" spans="2:3" x14ac:dyDescent="0.25">
      <c r="B206" s="245">
        <v>45708</v>
      </c>
      <c r="C206" s="303">
        <f t="shared" si="1"/>
        <v>3.0583700000000009</v>
      </c>
    </row>
    <row r="207" spans="2:3" x14ac:dyDescent="0.25">
      <c r="B207" s="245">
        <v>45709</v>
      </c>
      <c r="C207" s="303">
        <f t="shared" si="1"/>
        <v>3.0583700000000009</v>
      </c>
    </row>
    <row r="208" spans="2:3" x14ac:dyDescent="0.25">
      <c r="B208" s="245">
        <v>45710</v>
      </c>
      <c r="C208" s="303">
        <f t="shared" si="1"/>
        <v>3.0583700000000009</v>
      </c>
    </row>
    <row r="209" spans="2:3" x14ac:dyDescent="0.25">
      <c r="B209" s="245">
        <v>45711</v>
      </c>
      <c r="C209" s="303">
        <f t="shared" si="1"/>
        <v>3.0583700000000009</v>
      </c>
    </row>
    <row r="210" spans="2:3" x14ac:dyDescent="0.25">
      <c r="B210" s="245">
        <v>45712</v>
      </c>
      <c r="C210" s="303">
        <f t="shared" si="1"/>
        <v>3.0583700000000009</v>
      </c>
    </row>
    <row r="211" spans="2:3" x14ac:dyDescent="0.25">
      <c r="B211" s="245">
        <v>45713</v>
      </c>
      <c r="C211" s="303">
        <f t="shared" si="1"/>
        <v>3.0583700000000009</v>
      </c>
    </row>
    <row r="212" spans="2:3" x14ac:dyDescent="0.25">
      <c r="B212" s="245">
        <v>45714</v>
      </c>
      <c r="C212" s="303">
        <f t="shared" si="1"/>
        <v>3.0583700000000009</v>
      </c>
    </row>
    <row r="213" spans="2:3" x14ac:dyDescent="0.25">
      <c r="B213" s="245">
        <v>45715</v>
      </c>
      <c r="C213" s="303">
        <f t="shared" si="1"/>
        <v>3.0583700000000009</v>
      </c>
    </row>
    <row r="214" spans="2:3" x14ac:dyDescent="0.25">
      <c r="B214" s="245">
        <v>45716</v>
      </c>
      <c r="C214" s="303">
        <f t="shared" si="1"/>
        <v>3.0583700000000009</v>
      </c>
    </row>
    <row r="215" spans="2:3" x14ac:dyDescent="0.25">
      <c r="B215" s="245">
        <v>45717</v>
      </c>
      <c r="C215" s="303">
        <f t="shared" si="1"/>
        <v>3.0583700000000009</v>
      </c>
    </row>
    <row r="216" spans="2:3" x14ac:dyDescent="0.25">
      <c r="B216" s="245">
        <v>45718</v>
      </c>
      <c r="C216" s="303">
        <f t="shared" si="1"/>
        <v>3.0583700000000009</v>
      </c>
    </row>
    <row r="217" spans="2:3" x14ac:dyDescent="0.25">
      <c r="B217" s="245">
        <v>45719</v>
      </c>
      <c r="C217" s="303">
        <f t="shared" si="1"/>
        <v>3.0583700000000009</v>
      </c>
    </row>
    <row r="218" spans="2:3" x14ac:dyDescent="0.25">
      <c r="B218" s="245">
        <v>45720</v>
      </c>
      <c r="C218" s="303">
        <f t="shared" si="1"/>
        <v>3.0583700000000009</v>
      </c>
    </row>
    <row r="219" spans="2:3" x14ac:dyDescent="0.25">
      <c r="B219" s="245">
        <v>45721</v>
      </c>
      <c r="C219" s="303">
        <f t="shared" si="1"/>
        <v>3.0583700000000009</v>
      </c>
    </row>
    <row r="220" spans="2:3" x14ac:dyDescent="0.25">
      <c r="B220" s="245">
        <v>45722</v>
      </c>
      <c r="C220" s="303">
        <f t="shared" si="1"/>
        <v>3.0583700000000009</v>
      </c>
    </row>
    <row r="221" spans="2:3" x14ac:dyDescent="0.25">
      <c r="B221" s="245">
        <v>45723</v>
      </c>
      <c r="C221" s="303">
        <f t="shared" si="1"/>
        <v>3.0583700000000009</v>
      </c>
    </row>
    <row r="222" spans="2:3" x14ac:dyDescent="0.25">
      <c r="B222" s="245">
        <v>45724</v>
      </c>
      <c r="C222" s="303">
        <f t="shared" si="1"/>
        <v>3.0583700000000009</v>
      </c>
    </row>
    <row r="223" spans="2:3" x14ac:dyDescent="0.25">
      <c r="B223" s="245">
        <v>45725</v>
      </c>
      <c r="C223" s="303">
        <f t="shared" si="1"/>
        <v>3.0583700000000009</v>
      </c>
    </row>
    <row r="224" spans="2:3" x14ac:dyDescent="0.25">
      <c r="B224" s="245">
        <v>45726</v>
      </c>
      <c r="C224" s="303">
        <f t="shared" si="1"/>
        <v>3.0583700000000009</v>
      </c>
    </row>
    <row r="225" spans="2:3" x14ac:dyDescent="0.25">
      <c r="B225" s="245">
        <v>45727</v>
      </c>
      <c r="C225" s="303">
        <f t="shared" si="1"/>
        <v>3.0583700000000009</v>
      </c>
    </row>
    <row r="226" spans="2:3" x14ac:dyDescent="0.25">
      <c r="B226" s="245">
        <v>45728</v>
      </c>
      <c r="C226" s="303">
        <f>C225-0.25</f>
        <v>2.8083700000000009</v>
      </c>
    </row>
    <row r="227" spans="2:3" x14ac:dyDescent="0.25">
      <c r="B227" s="245">
        <v>45729</v>
      </c>
      <c r="C227" s="303">
        <f>C226</f>
        <v>2.8083700000000009</v>
      </c>
    </row>
    <row r="228" spans="2:3" x14ac:dyDescent="0.25">
      <c r="B228" s="245">
        <v>45730</v>
      </c>
      <c r="C228" s="303">
        <f t="shared" ref="C228:C260" si="2">C227</f>
        <v>2.8083700000000009</v>
      </c>
    </row>
    <row r="229" spans="2:3" x14ac:dyDescent="0.25">
      <c r="B229" s="245">
        <v>45731</v>
      </c>
      <c r="C229" s="303">
        <f t="shared" si="2"/>
        <v>2.8083700000000009</v>
      </c>
    </row>
    <row r="230" spans="2:3" x14ac:dyDescent="0.25">
      <c r="B230" s="245">
        <v>45732</v>
      </c>
      <c r="C230" s="303">
        <f t="shared" si="2"/>
        <v>2.8083700000000009</v>
      </c>
    </row>
    <row r="231" spans="2:3" x14ac:dyDescent="0.25">
      <c r="B231" s="245">
        <v>45733</v>
      </c>
      <c r="C231" s="303">
        <f t="shared" si="2"/>
        <v>2.8083700000000009</v>
      </c>
    </row>
    <row r="232" spans="2:3" x14ac:dyDescent="0.25">
      <c r="B232" s="245">
        <v>45734</v>
      </c>
      <c r="C232" s="303">
        <f t="shared" si="2"/>
        <v>2.8083700000000009</v>
      </c>
    </row>
    <row r="233" spans="2:3" x14ac:dyDescent="0.25">
      <c r="B233" s="245">
        <v>45735</v>
      </c>
      <c r="C233" s="303">
        <f t="shared" si="2"/>
        <v>2.8083700000000009</v>
      </c>
    </row>
    <row r="234" spans="2:3" x14ac:dyDescent="0.25">
      <c r="B234" s="245">
        <v>45736</v>
      </c>
      <c r="C234" s="303">
        <f t="shared" si="2"/>
        <v>2.8083700000000009</v>
      </c>
    </row>
    <row r="235" spans="2:3" x14ac:dyDescent="0.25">
      <c r="B235" s="245">
        <v>45737</v>
      </c>
      <c r="C235" s="303">
        <f t="shared" si="2"/>
        <v>2.8083700000000009</v>
      </c>
    </row>
    <row r="236" spans="2:3" x14ac:dyDescent="0.25">
      <c r="B236" s="245">
        <v>45738</v>
      </c>
      <c r="C236" s="303">
        <f t="shared" si="2"/>
        <v>2.8083700000000009</v>
      </c>
    </row>
    <row r="237" spans="2:3" x14ac:dyDescent="0.25">
      <c r="B237" s="245">
        <v>45739</v>
      </c>
      <c r="C237" s="303">
        <f t="shared" si="2"/>
        <v>2.8083700000000009</v>
      </c>
    </row>
    <row r="238" spans="2:3" x14ac:dyDescent="0.25">
      <c r="B238" s="245">
        <v>45740</v>
      </c>
      <c r="C238" s="303">
        <f t="shared" si="2"/>
        <v>2.8083700000000009</v>
      </c>
    </row>
    <row r="239" spans="2:3" x14ac:dyDescent="0.25">
      <c r="B239" s="245">
        <v>45741</v>
      </c>
      <c r="C239" s="303">
        <f t="shared" si="2"/>
        <v>2.8083700000000009</v>
      </c>
    </row>
    <row r="240" spans="2:3" x14ac:dyDescent="0.25">
      <c r="B240" s="245">
        <v>45742</v>
      </c>
      <c r="C240" s="303">
        <f t="shared" si="2"/>
        <v>2.8083700000000009</v>
      </c>
    </row>
    <row r="241" spans="2:3" x14ac:dyDescent="0.25">
      <c r="B241" s="245">
        <v>45743</v>
      </c>
      <c r="C241" s="303">
        <f t="shared" si="2"/>
        <v>2.8083700000000009</v>
      </c>
    </row>
    <row r="242" spans="2:3" x14ac:dyDescent="0.25">
      <c r="B242" s="245">
        <v>45744</v>
      </c>
      <c r="C242" s="303">
        <f t="shared" si="2"/>
        <v>2.8083700000000009</v>
      </c>
    </row>
    <row r="243" spans="2:3" x14ac:dyDescent="0.25">
      <c r="B243" s="245">
        <v>45745</v>
      </c>
      <c r="C243" s="303">
        <f t="shared" si="2"/>
        <v>2.8083700000000009</v>
      </c>
    </row>
    <row r="244" spans="2:3" x14ac:dyDescent="0.25">
      <c r="B244" s="245">
        <v>45746</v>
      </c>
      <c r="C244" s="303">
        <f t="shared" si="2"/>
        <v>2.8083700000000009</v>
      </c>
    </row>
    <row r="245" spans="2:3" x14ac:dyDescent="0.25">
      <c r="B245" s="245">
        <v>45747</v>
      </c>
      <c r="C245" s="303">
        <f t="shared" si="2"/>
        <v>2.8083700000000009</v>
      </c>
    </row>
    <row r="246" spans="2:3" x14ac:dyDescent="0.25">
      <c r="B246" s="245">
        <v>45748</v>
      </c>
      <c r="C246" s="303">
        <f t="shared" si="2"/>
        <v>2.8083700000000009</v>
      </c>
    </row>
    <row r="247" spans="2:3" x14ac:dyDescent="0.25">
      <c r="B247" s="245">
        <v>45749</v>
      </c>
      <c r="C247" s="303">
        <f t="shared" si="2"/>
        <v>2.8083700000000009</v>
      </c>
    </row>
    <row r="248" spans="2:3" x14ac:dyDescent="0.25">
      <c r="B248" s="245">
        <v>45750</v>
      </c>
      <c r="C248" s="303">
        <f t="shared" si="2"/>
        <v>2.8083700000000009</v>
      </c>
    </row>
    <row r="249" spans="2:3" x14ac:dyDescent="0.25">
      <c r="B249" s="245">
        <v>45751</v>
      </c>
      <c r="C249" s="303">
        <f t="shared" si="2"/>
        <v>2.8083700000000009</v>
      </c>
    </row>
    <row r="250" spans="2:3" x14ac:dyDescent="0.25">
      <c r="B250" s="245">
        <v>45752</v>
      </c>
      <c r="C250" s="303">
        <f t="shared" si="2"/>
        <v>2.8083700000000009</v>
      </c>
    </row>
    <row r="251" spans="2:3" x14ac:dyDescent="0.25">
      <c r="B251" s="245">
        <v>45753</v>
      </c>
      <c r="C251" s="303">
        <f t="shared" si="2"/>
        <v>2.8083700000000009</v>
      </c>
    </row>
    <row r="252" spans="2:3" x14ac:dyDescent="0.25">
      <c r="B252" s="245">
        <v>45754</v>
      </c>
      <c r="C252" s="303">
        <f t="shared" si="2"/>
        <v>2.8083700000000009</v>
      </c>
    </row>
    <row r="253" spans="2:3" x14ac:dyDescent="0.25">
      <c r="B253" s="245">
        <v>45755</v>
      </c>
      <c r="C253" s="303">
        <f t="shared" si="2"/>
        <v>2.8083700000000009</v>
      </c>
    </row>
    <row r="254" spans="2:3" x14ac:dyDescent="0.25">
      <c r="B254" s="245">
        <v>45756</v>
      </c>
      <c r="C254" s="303">
        <f t="shared" si="2"/>
        <v>2.8083700000000009</v>
      </c>
    </row>
    <row r="255" spans="2:3" x14ac:dyDescent="0.25">
      <c r="B255" s="245">
        <v>45757</v>
      </c>
      <c r="C255" s="303">
        <f t="shared" si="2"/>
        <v>2.8083700000000009</v>
      </c>
    </row>
    <row r="256" spans="2:3" x14ac:dyDescent="0.25">
      <c r="B256" s="245">
        <v>45758</v>
      </c>
      <c r="C256" s="303">
        <f t="shared" si="2"/>
        <v>2.8083700000000009</v>
      </c>
    </row>
    <row r="257" spans="2:3" x14ac:dyDescent="0.25">
      <c r="B257" s="245">
        <v>45759</v>
      </c>
      <c r="C257" s="303">
        <f t="shared" si="2"/>
        <v>2.8083700000000009</v>
      </c>
    </row>
    <row r="258" spans="2:3" x14ac:dyDescent="0.25">
      <c r="B258" s="245">
        <v>45760</v>
      </c>
      <c r="C258" s="303">
        <f t="shared" si="2"/>
        <v>2.8083700000000009</v>
      </c>
    </row>
    <row r="259" spans="2:3" x14ac:dyDescent="0.25">
      <c r="B259" s="245">
        <v>45761</v>
      </c>
      <c r="C259" s="303">
        <f t="shared" si="2"/>
        <v>2.8083700000000009</v>
      </c>
    </row>
    <row r="260" spans="2:3" x14ac:dyDescent="0.25">
      <c r="B260" s="245">
        <v>45762</v>
      </c>
      <c r="C260" s="303">
        <f t="shared" si="2"/>
        <v>2.8083700000000009</v>
      </c>
    </row>
    <row r="261" spans="2:3" x14ac:dyDescent="0.25">
      <c r="B261" s="245">
        <v>45763</v>
      </c>
      <c r="C261" s="303">
        <f>C260-0.25</f>
        <v>2.5583700000000009</v>
      </c>
    </row>
    <row r="262" spans="2:3" x14ac:dyDescent="0.25">
      <c r="B262" s="245">
        <v>45764</v>
      </c>
      <c r="C262" s="303">
        <f>C261</f>
        <v>2.5583700000000009</v>
      </c>
    </row>
    <row r="263" spans="2:3" x14ac:dyDescent="0.25">
      <c r="B263" s="245">
        <v>45765</v>
      </c>
      <c r="C263" s="303">
        <f t="shared" ref="C263:C309" si="3">C262</f>
        <v>2.5583700000000009</v>
      </c>
    </row>
    <row r="264" spans="2:3" x14ac:dyDescent="0.25">
      <c r="B264" s="245">
        <v>45766</v>
      </c>
      <c r="C264" s="303">
        <f t="shared" si="3"/>
        <v>2.5583700000000009</v>
      </c>
    </row>
    <row r="265" spans="2:3" x14ac:dyDescent="0.25">
      <c r="B265" s="245">
        <v>45767</v>
      </c>
      <c r="C265" s="303">
        <f t="shared" si="3"/>
        <v>2.5583700000000009</v>
      </c>
    </row>
    <row r="266" spans="2:3" x14ac:dyDescent="0.25">
      <c r="B266" s="245">
        <v>45768</v>
      </c>
      <c r="C266" s="303">
        <f t="shared" si="3"/>
        <v>2.5583700000000009</v>
      </c>
    </row>
    <row r="267" spans="2:3" x14ac:dyDescent="0.25">
      <c r="B267" s="245">
        <v>45769</v>
      </c>
      <c r="C267" s="303">
        <f t="shared" si="3"/>
        <v>2.5583700000000009</v>
      </c>
    </row>
    <row r="268" spans="2:3" x14ac:dyDescent="0.25">
      <c r="B268" s="245">
        <v>45770</v>
      </c>
      <c r="C268" s="303">
        <f t="shared" si="3"/>
        <v>2.5583700000000009</v>
      </c>
    </row>
    <row r="269" spans="2:3" x14ac:dyDescent="0.25">
      <c r="B269" s="245">
        <v>45771</v>
      </c>
      <c r="C269" s="303">
        <f t="shared" si="3"/>
        <v>2.5583700000000009</v>
      </c>
    </row>
    <row r="270" spans="2:3" x14ac:dyDescent="0.25">
      <c r="B270" s="245">
        <v>45772</v>
      </c>
      <c r="C270" s="303">
        <f t="shared" si="3"/>
        <v>2.5583700000000009</v>
      </c>
    </row>
    <row r="271" spans="2:3" x14ac:dyDescent="0.25">
      <c r="B271" s="245">
        <v>45773</v>
      </c>
      <c r="C271" s="303">
        <f t="shared" si="3"/>
        <v>2.5583700000000009</v>
      </c>
    </row>
    <row r="272" spans="2:3" x14ac:dyDescent="0.25">
      <c r="B272" s="245">
        <v>45774</v>
      </c>
      <c r="C272" s="303">
        <f t="shared" si="3"/>
        <v>2.5583700000000009</v>
      </c>
    </row>
    <row r="273" spans="2:3" x14ac:dyDescent="0.25">
      <c r="B273" s="245">
        <v>45775</v>
      </c>
      <c r="C273" s="303">
        <f t="shared" si="3"/>
        <v>2.5583700000000009</v>
      </c>
    </row>
    <row r="274" spans="2:3" x14ac:dyDescent="0.25">
      <c r="B274" s="245">
        <v>45776</v>
      </c>
      <c r="C274" s="303">
        <f t="shared" si="3"/>
        <v>2.5583700000000009</v>
      </c>
    </row>
    <row r="275" spans="2:3" x14ac:dyDescent="0.25">
      <c r="B275" s="245">
        <v>45777</v>
      </c>
      <c r="C275" s="303">
        <f t="shared" si="3"/>
        <v>2.5583700000000009</v>
      </c>
    </row>
    <row r="276" spans="2:3" x14ac:dyDescent="0.25">
      <c r="B276" s="245">
        <v>45778</v>
      </c>
      <c r="C276" s="303">
        <f t="shared" si="3"/>
        <v>2.5583700000000009</v>
      </c>
    </row>
    <row r="277" spans="2:3" x14ac:dyDescent="0.25">
      <c r="B277" s="245">
        <v>45779</v>
      </c>
      <c r="C277" s="303">
        <f t="shared" si="3"/>
        <v>2.5583700000000009</v>
      </c>
    </row>
    <row r="278" spans="2:3" x14ac:dyDescent="0.25">
      <c r="B278" s="245">
        <v>45780</v>
      </c>
      <c r="C278" s="303">
        <f t="shared" si="3"/>
        <v>2.5583700000000009</v>
      </c>
    </row>
    <row r="279" spans="2:3" x14ac:dyDescent="0.25">
      <c r="B279" s="245">
        <v>45781</v>
      </c>
      <c r="C279" s="303">
        <f t="shared" si="3"/>
        <v>2.5583700000000009</v>
      </c>
    </row>
    <row r="280" spans="2:3" x14ac:dyDescent="0.25">
      <c r="B280" s="245">
        <v>45782</v>
      </c>
      <c r="C280" s="303">
        <f t="shared" si="3"/>
        <v>2.5583700000000009</v>
      </c>
    </row>
    <row r="281" spans="2:3" x14ac:dyDescent="0.25">
      <c r="B281" s="245">
        <v>45783</v>
      </c>
      <c r="C281" s="303">
        <f t="shared" si="3"/>
        <v>2.5583700000000009</v>
      </c>
    </row>
    <row r="282" spans="2:3" x14ac:dyDescent="0.25">
      <c r="B282" s="245">
        <v>45784</v>
      </c>
      <c r="C282" s="303">
        <f t="shared" si="3"/>
        <v>2.5583700000000009</v>
      </c>
    </row>
    <row r="283" spans="2:3" x14ac:dyDescent="0.25">
      <c r="B283" s="245">
        <v>45785</v>
      </c>
      <c r="C283" s="303">
        <f t="shared" si="3"/>
        <v>2.5583700000000009</v>
      </c>
    </row>
    <row r="284" spans="2:3" x14ac:dyDescent="0.25">
      <c r="B284" s="245">
        <v>45786</v>
      </c>
      <c r="C284" s="303">
        <f t="shared" si="3"/>
        <v>2.5583700000000009</v>
      </c>
    </row>
    <row r="285" spans="2:3" x14ac:dyDescent="0.25">
      <c r="B285" s="245">
        <v>45787</v>
      </c>
      <c r="C285" s="303">
        <f t="shared" si="3"/>
        <v>2.5583700000000009</v>
      </c>
    </row>
    <row r="286" spans="2:3" x14ac:dyDescent="0.25">
      <c r="B286" s="245">
        <v>45788</v>
      </c>
      <c r="C286" s="303">
        <f t="shared" si="3"/>
        <v>2.5583700000000009</v>
      </c>
    </row>
    <row r="287" spans="2:3" x14ac:dyDescent="0.25">
      <c r="B287" s="245">
        <v>45789</v>
      </c>
      <c r="C287" s="303">
        <f t="shared" si="3"/>
        <v>2.5583700000000009</v>
      </c>
    </row>
    <row r="288" spans="2:3" x14ac:dyDescent="0.25">
      <c r="B288" s="245">
        <v>45790</v>
      </c>
      <c r="C288" s="303">
        <f t="shared" si="3"/>
        <v>2.5583700000000009</v>
      </c>
    </row>
    <row r="289" spans="2:3" x14ac:dyDescent="0.25">
      <c r="B289" s="245">
        <v>45791</v>
      </c>
      <c r="C289" s="303">
        <f t="shared" si="3"/>
        <v>2.5583700000000009</v>
      </c>
    </row>
    <row r="290" spans="2:3" x14ac:dyDescent="0.25">
      <c r="B290" s="245">
        <v>45792</v>
      </c>
      <c r="C290" s="303">
        <f t="shared" si="3"/>
        <v>2.5583700000000009</v>
      </c>
    </row>
    <row r="291" spans="2:3" x14ac:dyDescent="0.25">
      <c r="B291" s="245">
        <v>45793</v>
      </c>
      <c r="C291" s="303">
        <f t="shared" si="3"/>
        <v>2.5583700000000009</v>
      </c>
    </row>
    <row r="292" spans="2:3" x14ac:dyDescent="0.25">
      <c r="B292" s="245">
        <v>45794</v>
      </c>
      <c r="C292" s="303">
        <f t="shared" si="3"/>
        <v>2.5583700000000009</v>
      </c>
    </row>
    <row r="293" spans="2:3" x14ac:dyDescent="0.25">
      <c r="B293" s="245">
        <v>45795</v>
      </c>
      <c r="C293" s="303">
        <f t="shared" si="3"/>
        <v>2.5583700000000009</v>
      </c>
    </row>
    <row r="294" spans="2:3" x14ac:dyDescent="0.25">
      <c r="B294" s="245">
        <v>45796</v>
      </c>
      <c r="C294" s="303">
        <f t="shared" si="3"/>
        <v>2.5583700000000009</v>
      </c>
    </row>
    <row r="295" spans="2:3" x14ac:dyDescent="0.25">
      <c r="B295" s="245">
        <v>45797</v>
      </c>
      <c r="C295" s="303">
        <f t="shared" si="3"/>
        <v>2.5583700000000009</v>
      </c>
    </row>
    <row r="296" spans="2:3" x14ac:dyDescent="0.25">
      <c r="B296" s="245">
        <v>45798</v>
      </c>
      <c r="C296" s="303">
        <f t="shared" si="3"/>
        <v>2.5583700000000009</v>
      </c>
    </row>
    <row r="297" spans="2:3" x14ac:dyDescent="0.25">
      <c r="B297" s="245">
        <v>45799</v>
      </c>
      <c r="C297" s="303">
        <f t="shared" si="3"/>
        <v>2.5583700000000009</v>
      </c>
    </row>
    <row r="298" spans="2:3" x14ac:dyDescent="0.25">
      <c r="B298" s="245">
        <v>45800</v>
      </c>
      <c r="C298" s="303">
        <f t="shared" si="3"/>
        <v>2.5583700000000009</v>
      </c>
    </row>
    <row r="299" spans="2:3" x14ac:dyDescent="0.25">
      <c r="B299" s="245">
        <v>45801</v>
      </c>
      <c r="C299" s="303">
        <f t="shared" si="3"/>
        <v>2.5583700000000009</v>
      </c>
    </row>
    <row r="300" spans="2:3" x14ac:dyDescent="0.25">
      <c r="B300" s="245">
        <v>45802</v>
      </c>
      <c r="C300" s="303">
        <f t="shared" si="3"/>
        <v>2.5583700000000009</v>
      </c>
    </row>
    <row r="301" spans="2:3" x14ac:dyDescent="0.25">
      <c r="B301" s="245">
        <v>45803</v>
      </c>
      <c r="C301" s="303">
        <f t="shared" si="3"/>
        <v>2.5583700000000009</v>
      </c>
    </row>
    <row r="302" spans="2:3" x14ac:dyDescent="0.25">
      <c r="B302" s="245">
        <v>45804</v>
      </c>
      <c r="C302" s="303">
        <f t="shared" si="3"/>
        <v>2.5583700000000009</v>
      </c>
    </row>
    <row r="303" spans="2:3" x14ac:dyDescent="0.25">
      <c r="B303" s="245">
        <v>45805</v>
      </c>
      <c r="C303" s="303">
        <f t="shared" si="3"/>
        <v>2.5583700000000009</v>
      </c>
    </row>
    <row r="304" spans="2:3" x14ac:dyDescent="0.25">
      <c r="B304" s="245">
        <v>45806</v>
      </c>
      <c r="C304" s="303">
        <f t="shared" si="3"/>
        <v>2.5583700000000009</v>
      </c>
    </row>
    <row r="305" spans="2:3" x14ac:dyDescent="0.25">
      <c r="B305" s="245">
        <v>45807</v>
      </c>
      <c r="C305" s="303">
        <f t="shared" si="3"/>
        <v>2.5583700000000009</v>
      </c>
    </row>
    <row r="306" spans="2:3" x14ac:dyDescent="0.25">
      <c r="B306" s="245">
        <v>45808</v>
      </c>
      <c r="C306" s="303">
        <f t="shared" si="3"/>
        <v>2.5583700000000009</v>
      </c>
    </row>
    <row r="307" spans="2:3" x14ac:dyDescent="0.25">
      <c r="B307" s="245">
        <v>45809</v>
      </c>
      <c r="C307" s="303">
        <f t="shared" si="3"/>
        <v>2.5583700000000009</v>
      </c>
    </row>
    <row r="308" spans="2:3" x14ac:dyDescent="0.25">
      <c r="B308" s="245">
        <v>45810</v>
      </c>
      <c r="C308" s="303">
        <f t="shared" si="3"/>
        <v>2.5583700000000009</v>
      </c>
    </row>
    <row r="309" spans="2:3" x14ac:dyDescent="0.25">
      <c r="B309" s="245">
        <v>45811</v>
      </c>
      <c r="C309" s="303">
        <f t="shared" si="3"/>
        <v>2.5583700000000009</v>
      </c>
    </row>
    <row r="310" spans="2:3" x14ac:dyDescent="0.25">
      <c r="B310" s="245">
        <v>45812</v>
      </c>
      <c r="C310" s="303">
        <f>C309-0.25</f>
        <v>2.3083700000000009</v>
      </c>
    </row>
    <row r="311" spans="2:3" x14ac:dyDescent="0.25">
      <c r="B311" s="245">
        <v>45813</v>
      </c>
      <c r="C311" s="303">
        <f>C310</f>
        <v>2.3083700000000009</v>
      </c>
    </row>
    <row r="312" spans="2:3" x14ac:dyDescent="0.25">
      <c r="B312" s="245">
        <v>45814</v>
      </c>
      <c r="C312" s="303">
        <f t="shared" ref="C312:C365" si="4">C311</f>
        <v>2.3083700000000009</v>
      </c>
    </row>
    <row r="313" spans="2:3" x14ac:dyDescent="0.25">
      <c r="B313" s="245">
        <v>45815</v>
      </c>
      <c r="C313" s="303">
        <f t="shared" si="4"/>
        <v>2.3083700000000009</v>
      </c>
    </row>
    <row r="314" spans="2:3" x14ac:dyDescent="0.25">
      <c r="B314" s="245">
        <v>45816</v>
      </c>
      <c r="C314" s="303">
        <f t="shared" si="4"/>
        <v>2.3083700000000009</v>
      </c>
    </row>
    <row r="315" spans="2:3" x14ac:dyDescent="0.25">
      <c r="B315" s="245">
        <v>45817</v>
      </c>
      <c r="C315" s="303">
        <f t="shared" si="4"/>
        <v>2.3083700000000009</v>
      </c>
    </row>
    <row r="316" spans="2:3" x14ac:dyDescent="0.25">
      <c r="B316" s="245">
        <v>45818</v>
      </c>
      <c r="C316" s="303">
        <f t="shared" si="4"/>
        <v>2.3083700000000009</v>
      </c>
    </row>
    <row r="317" spans="2:3" x14ac:dyDescent="0.25">
      <c r="B317" s="245">
        <v>45819</v>
      </c>
      <c r="C317" s="303">
        <f t="shared" si="4"/>
        <v>2.3083700000000009</v>
      </c>
    </row>
    <row r="318" spans="2:3" x14ac:dyDescent="0.25">
      <c r="B318" s="245">
        <v>45820</v>
      </c>
      <c r="C318" s="303">
        <f t="shared" si="4"/>
        <v>2.3083700000000009</v>
      </c>
    </row>
    <row r="319" spans="2:3" x14ac:dyDescent="0.25">
      <c r="B319" s="245">
        <v>45821</v>
      </c>
      <c r="C319" s="303">
        <f t="shared" si="4"/>
        <v>2.3083700000000009</v>
      </c>
    </row>
    <row r="320" spans="2:3" x14ac:dyDescent="0.25">
      <c r="B320" s="245">
        <v>45822</v>
      </c>
      <c r="C320" s="303">
        <f t="shared" si="4"/>
        <v>2.3083700000000009</v>
      </c>
    </row>
    <row r="321" spans="2:3" x14ac:dyDescent="0.25">
      <c r="B321" s="245">
        <v>45823</v>
      </c>
      <c r="C321" s="303">
        <f t="shared" si="4"/>
        <v>2.3083700000000009</v>
      </c>
    </row>
    <row r="322" spans="2:3" x14ac:dyDescent="0.25">
      <c r="B322" s="245">
        <v>45824</v>
      </c>
      <c r="C322" s="303">
        <f t="shared" si="4"/>
        <v>2.3083700000000009</v>
      </c>
    </row>
    <row r="323" spans="2:3" x14ac:dyDescent="0.25">
      <c r="B323" s="245">
        <v>45825</v>
      </c>
      <c r="C323" s="303">
        <f t="shared" si="4"/>
        <v>2.3083700000000009</v>
      </c>
    </row>
    <row r="324" spans="2:3" x14ac:dyDescent="0.25">
      <c r="B324" s="245">
        <v>45826</v>
      </c>
      <c r="C324" s="303">
        <f t="shared" si="4"/>
        <v>2.3083700000000009</v>
      </c>
    </row>
    <row r="325" spans="2:3" x14ac:dyDescent="0.25">
      <c r="B325" s="245">
        <v>45827</v>
      </c>
      <c r="C325" s="303">
        <f t="shared" si="4"/>
        <v>2.3083700000000009</v>
      </c>
    </row>
    <row r="326" spans="2:3" x14ac:dyDescent="0.25">
      <c r="B326" s="245">
        <v>45828</v>
      </c>
      <c r="C326" s="303">
        <f t="shared" si="4"/>
        <v>2.3083700000000009</v>
      </c>
    </row>
    <row r="327" spans="2:3" x14ac:dyDescent="0.25">
      <c r="B327" s="245">
        <v>45829</v>
      </c>
      <c r="C327" s="303">
        <f t="shared" si="4"/>
        <v>2.3083700000000009</v>
      </c>
    </row>
    <row r="328" spans="2:3" x14ac:dyDescent="0.25">
      <c r="B328" s="245">
        <v>45830</v>
      </c>
      <c r="C328" s="303">
        <f t="shared" si="4"/>
        <v>2.3083700000000009</v>
      </c>
    </row>
    <row r="329" spans="2:3" x14ac:dyDescent="0.25">
      <c r="B329" s="245">
        <v>45831</v>
      </c>
      <c r="C329" s="303">
        <f t="shared" si="4"/>
        <v>2.3083700000000009</v>
      </c>
    </row>
    <row r="330" spans="2:3" x14ac:dyDescent="0.25">
      <c r="B330" s="245">
        <v>45832</v>
      </c>
      <c r="C330" s="303">
        <f t="shared" si="4"/>
        <v>2.3083700000000009</v>
      </c>
    </row>
    <row r="331" spans="2:3" x14ac:dyDescent="0.25">
      <c r="B331" s="245">
        <v>45833</v>
      </c>
      <c r="C331" s="303">
        <f t="shared" si="4"/>
        <v>2.3083700000000009</v>
      </c>
    </row>
    <row r="332" spans="2:3" x14ac:dyDescent="0.25">
      <c r="B332" s="245">
        <v>45834</v>
      </c>
      <c r="C332" s="303">
        <f t="shared" si="4"/>
        <v>2.3083700000000009</v>
      </c>
    </row>
    <row r="333" spans="2:3" x14ac:dyDescent="0.25">
      <c r="B333" s="245">
        <v>45835</v>
      </c>
      <c r="C333" s="303">
        <f t="shared" si="4"/>
        <v>2.3083700000000009</v>
      </c>
    </row>
    <row r="334" spans="2:3" x14ac:dyDescent="0.25">
      <c r="B334" s="245">
        <v>45836</v>
      </c>
      <c r="C334" s="303">
        <f t="shared" si="4"/>
        <v>2.3083700000000009</v>
      </c>
    </row>
    <row r="335" spans="2:3" x14ac:dyDescent="0.25">
      <c r="B335" s="245">
        <v>45837</v>
      </c>
      <c r="C335" s="303">
        <f t="shared" si="4"/>
        <v>2.3083700000000009</v>
      </c>
    </row>
    <row r="336" spans="2:3" x14ac:dyDescent="0.25">
      <c r="B336" s="245">
        <v>45838</v>
      </c>
      <c r="C336" s="303">
        <f t="shared" si="4"/>
        <v>2.3083700000000009</v>
      </c>
    </row>
    <row r="337" spans="2:3" x14ac:dyDescent="0.25">
      <c r="B337" s="245">
        <v>45839</v>
      </c>
      <c r="C337" s="303">
        <f t="shared" si="4"/>
        <v>2.3083700000000009</v>
      </c>
    </row>
    <row r="338" spans="2:3" x14ac:dyDescent="0.25">
      <c r="B338" s="245">
        <v>45840</v>
      </c>
      <c r="C338" s="303">
        <f t="shared" si="4"/>
        <v>2.3083700000000009</v>
      </c>
    </row>
    <row r="339" spans="2:3" x14ac:dyDescent="0.25">
      <c r="B339" s="245">
        <v>45841</v>
      </c>
      <c r="C339" s="303">
        <f t="shared" si="4"/>
        <v>2.3083700000000009</v>
      </c>
    </row>
    <row r="340" spans="2:3" x14ac:dyDescent="0.25">
      <c r="B340" s="245">
        <v>45842</v>
      </c>
      <c r="C340" s="303">
        <f t="shared" si="4"/>
        <v>2.3083700000000009</v>
      </c>
    </row>
    <row r="341" spans="2:3" x14ac:dyDescent="0.25">
      <c r="B341" s="245">
        <v>45843</v>
      </c>
      <c r="C341" s="303">
        <f t="shared" si="4"/>
        <v>2.3083700000000009</v>
      </c>
    </row>
    <row r="342" spans="2:3" x14ac:dyDescent="0.25">
      <c r="B342" s="245">
        <v>45844</v>
      </c>
      <c r="C342" s="303">
        <f t="shared" si="4"/>
        <v>2.3083700000000009</v>
      </c>
    </row>
    <row r="343" spans="2:3" x14ac:dyDescent="0.25">
      <c r="B343" s="245">
        <v>45845</v>
      </c>
      <c r="C343" s="303">
        <f t="shared" si="4"/>
        <v>2.3083700000000009</v>
      </c>
    </row>
    <row r="344" spans="2:3" x14ac:dyDescent="0.25">
      <c r="B344" s="245">
        <v>45846</v>
      </c>
      <c r="C344" s="303">
        <f t="shared" si="4"/>
        <v>2.3083700000000009</v>
      </c>
    </row>
    <row r="345" spans="2:3" x14ac:dyDescent="0.25">
      <c r="B345" s="245">
        <v>45847</v>
      </c>
      <c r="C345" s="303">
        <f t="shared" si="4"/>
        <v>2.3083700000000009</v>
      </c>
    </row>
    <row r="346" spans="2:3" x14ac:dyDescent="0.25">
      <c r="B346" s="245">
        <v>45848</v>
      </c>
      <c r="C346" s="303">
        <f t="shared" si="4"/>
        <v>2.3083700000000009</v>
      </c>
    </row>
    <row r="347" spans="2:3" x14ac:dyDescent="0.25">
      <c r="B347" s="245">
        <v>45849</v>
      </c>
      <c r="C347" s="303">
        <f t="shared" si="4"/>
        <v>2.3083700000000009</v>
      </c>
    </row>
    <row r="348" spans="2:3" x14ac:dyDescent="0.25">
      <c r="B348" s="245">
        <v>45850</v>
      </c>
      <c r="C348" s="303">
        <f t="shared" si="4"/>
        <v>2.3083700000000009</v>
      </c>
    </row>
    <row r="349" spans="2:3" x14ac:dyDescent="0.25">
      <c r="B349" s="245">
        <v>45851</v>
      </c>
      <c r="C349" s="303">
        <f t="shared" si="4"/>
        <v>2.3083700000000009</v>
      </c>
    </row>
    <row r="350" spans="2:3" x14ac:dyDescent="0.25">
      <c r="B350" s="245">
        <v>45852</v>
      </c>
      <c r="C350" s="303">
        <f t="shared" si="4"/>
        <v>2.3083700000000009</v>
      </c>
    </row>
    <row r="351" spans="2:3" x14ac:dyDescent="0.25">
      <c r="B351" s="245">
        <v>45853</v>
      </c>
      <c r="C351" s="303">
        <f t="shared" si="4"/>
        <v>2.3083700000000009</v>
      </c>
    </row>
    <row r="352" spans="2:3" x14ac:dyDescent="0.25">
      <c r="B352" s="245">
        <v>45854</v>
      </c>
      <c r="C352" s="303">
        <f t="shared" si="4"/>
        <v>2.3083700000000009</v>
      </c>
    </row>
    <row r="353" spans="2:3" x14ac:dyDescent="0.25">
      <c r="B353" s="245">
        <v>45855</v>
      </c>
      <c r="C353" s="303">
        <f t="shared" si="4"/>
        <v>2.3083700000000009</v>
      </c>
    </row>
    <row r="354" spans="2:3" x14ac:dyDescent="0.25">
      <c r="B354" s="245">
        <v>45856</v>
      </c>
      <c r="C354" s="303">
        <f t="shared" si="4"/>
        <v>2.3083700000000009</v>
      </c>
    </row>
    <row r="355" spans="2:3" x14ac:dyDescent="0.25">
      <c r="B355" s="245">
        <v>45857</v>
      </c>
      <c r="C355" s="303">
        <f t="shared" si="4"/>
        <v>2.3083700000000009</v>
      </c>
    </row>
    <row r="356" spans="2:3" x14ac:dyDescent="0.25">
      <c r="B356" s="245">
        <v>45858</v>
      </c>
      <c r="C356" s="303">
        <f t="shared" si="4"/>
        <v>2.3083700000000009</v>
      </c>
    </row>
    <row r="357" spans="2:3" x14ac:dyDescent="0.25">
      <c r="B357" s="245">
        <v>45859</v>
      </c>
      <c r="C357" s="303">
        <f t="shared" si="4"/>
        <v>2.3083700000000009</v>
      </c>
    </row>
    <row r="358" spans="2:3" x14ac:dyDescent="0.25">
      <c r="B358" s="245">
        <v>45860</v>
      </c>
      <c r="C358" s="303">
        <f t="shared" si="4"/>
        <v>2.3083700000000009</v>
      </c>
    </row>
    <row r="359" spans="2:3" x14ac:dyDescent="0.25">
      <c r="B359" s="245">
        <v>45861</v>
      </c>
      <c r="C359" s="303">
        <f t="shared" si="4"/>
        <v>2.3083700000000009</v>
      </c>
    </row>
    <row r="360" spans="2:3" x14ac:dyDescent="0.25">
      <c r="B360" s="245">
        <v>45862</v>
      </c>
      <c r="C360" s="303">
        <f t="shared" si="4"/>
        <v>2.3083700000000009</v>
      </c>
    </row>
    <row r="361" spans="2:3" x14ac:dyDescent="0.25">
      <c r="B361" s="245">
        <v>45863</v>
      </c>
      <c r="C361" s="303">
        <f t="shared" si="4"/>
        <v>2.3083700000000009</v>
      </c>
    </row>
    <row r="362" spans="2:3" x14ac:dyDescent="0.25">
      <c r="B362" s="245">
        <v>45864</v>
      </c>
      <c r="C362" s="303">
        <f t="shared" si="4"/>
        <v>2.3083700000000009</v>
      </c>
    </row>
    <row r="363" spans="2:3" x14ac:dyDescent="0.25">
      <c r="B363" s="245">
        <v>45865</v>
      </c>
      <c r="C363" s="303">
        <f t="shared" si="4"/>
        <v>2.3083700000000009</v>
      </c>
    </row>
    <row r="364" spans="2:3" x14ac:dyDescent="0.25">
      <c r="B364" s="245">
        <v>45866</v>
      </c>
      <c r="C364" s="303">
        <f t="shared" si="4"/>
        <v>2.3083700000000009</v>
      </c>
    </row>
    <row r="365" spans="2:3" x14ac:dyDescent="0.25">
      <c r="B365" s="245">
        <v>45867</v>
      </c>
      <c r="C365" s="303">
        <f t="shared" si="4"/>
        <v>2.3083700000000009</v>
      </c>
    </row>
    <row r="366" spans="2:3" x14ac:dyDescent="0.25">
      <c r="B366" s="245">
        <v>45868</v>
      </c>
      <c r="C366" s="303">
        <f>C365</f>
        <v>2.3083700000000009</v>
      </c>
    </row>
    <row r="367" spans="2:3" x14ac:dyDescent="0.25">
      <c r="B367" s="245">
        <v>45869</v>
      </c>
      <c r="C367" s="303">
        <f>C366</f>
        <v>2.3083700000000009</v>
      </c>
    </row>
    <row r="368" spans="2:3" x14ac:dyDescent="0.25">
      <c r="B368" s="245">
        <v>45870</v>
      </c>
      <c r="C368" s="303">
        <f t="shared" ref="C368:C431" si="5">C367</f>
        <v>2.3083700000000009</v>
      </c>
    </row>
    <row r="369" spans="2:3" x14ac:dyDescent="0.25">
      <c r="B369" s="245">
        <v>45871</v>
      </c>
      <c r="C369" s="303">
        <f t="shared" si="5"/>
        <v>2.3083700000000009</v>
      </c>
    </row>
    <row r="370" spans="2:3" x14ac:dyDescent="0.25">
      <c r="B370" s="245">
        <v>45872</v>
      </c>
      <c r="C370" s="303">
        <f t="shared" si="5"/>
        <v>2.3083700000000009</v>
      </c>
    </row>
    <row r="371" spans="2:3" x14ac:dyDescent="0.25">
      <c r="B371" s="245">
        <v>45873</v>
      </c>
      <c r="C371" s="303">
        <f t="shared" si="5"/>
        <v>2.3083700000000009</v>
      </c>
    </row>
    <row r="372" spans="2:3" x14ac:dyDescent="0.25">
      <c r="B372" s="245">
        <v>45874</v>
      </c>
      <c r="C372" s="303">
        <f t="shared" si="5"/>
        <v>2.3083700000000009</v>
      </c>
    </row>
    <row r="373" spans="2:3" x14ac:dyDescent="0.25">
      <c r="B373" s="245">
        <v>45875</v>
      </c>
      <c r="C373" s="303">
        <f t="shared" si="5"/>
        <v>2.3083700000000009</v>
      </c>
    </row>
    <row r="374" spans="2:3" x14ac:dyDescent="0.25">
      <c r="B374" s="245">
        <v>45876</v>
      </c>
      <c r="C374" s="303">
        <f t="shared" si="5"/>
        <v>2.3083700000000009</v>
      </c>
    </row>
    <row r="375" spans="2:3" x14ac:dyDescent="0.25">
      <c r="B375" s="245">
        <v>45877</v>
      </c>
      <c r="C375" s="303">
        <f t="shared" si="5"/>
        <v>2.3083700000000009</v>
      </c>
    </row>
    <row r="376" spans="2:3" x14ac:dyDescent="0.25">
      <c r="B376" s="245">
        <v>45878</v>
      </c>
      <c r="C376" s="303">
        <f t="shared" si="5"/>
        <v>2.3083700000000009</v>
      </c>
    </row>
    <row r="377" spans="2:3" x14ac:dyDescent="0.25">
      <c r="B377" s="245">
        <v>45879</v>
      </c>
      <c r="C377" s="303">
        <f t="shared" si="5"/>
        <v>2.3083700000000009</v>
      </c>
    </row>
    <row r="378" spans="2:3" x14ac:dyDescent="0.25">
      <c r="B378" s="245">
        <v>45880</v>
      </c>
      <c r="C378" s="303">
        <f t="shared" si="5"/>
        <v>2.3083700000000009</v>
      </c>
    </row>
    <row r="379" spans="2:3" x14ac:dyDescent="0.25">
      <c r="B379" s="245">
        <v>45881</v>
      </c>
      <c r="C379" s="303">
        <f t="shared" si="5"/>
        <v>2.3083700000000009</v>
      </c>
    </row>
    <row r="380" spans="2:3" x14ac:dyDescent="0.25">
      <c r="B380" s="245">
        <v>45882</v>
      </c>
      <c r="C380" s="303">
        <f t="shared" si="5"/>
        <v>2.3083700000000009</v>
      </c>
    </row>
    <row r="381" spans="2:3" x14ac:dyDescent="0.25">
      <c r="B381" s="245">
        <v>45883</v>
      </c>
      <c r="C381" s="303">
        <f t="shared" si="5"/>
        <v>2.3083700000000009</v>
      </c>
    </row>
    <row r="382" spans="2:3" x14ac:dyDescent="0.25">
      <c r="B382" s="245">
        <v>45884</v>
      </c>
      <c r="C382" s="303">
        <f t="shared" si="5"/>
        <v>2.3083700000000009</v>
      </c>
    </row>
    <row r="383" spans="2:3" x14ac:dyDescent="0.25">
      <c r="B383" s="245">
        <v>45885</v>
      </c>
      <c r="C383" s="303">
        <f t="shared" si="5"/>
        <v>2.3083700000000009</v>
      </c>
    </row>
    <row r="384" spans="2:3" x14ac:dyDescent="0.25">
      <c r="B384" s="245">
        <v>45886</v>
      </c>
      <c r="C384" s="303">
        <f t="shared" si="5"/>
        <v>2.3083700000000009</v>
      </c>
    </row>
    <row r="385" spans="2:3" x14ac:dyDescent="0.25">
      <c r="B385" s="245">
        <v>45887</v>
      </c>
      <c r="C385" s="303">
        <f t="shared" si="5"/>
        <v>2.3083700000000009</v>
      </c>
    </row>
    <row r="386" spans="2:3" x14ac:dyDescent="0.25">
      <c r="B386" s="245">
        <v>45888</v>
      </c>
      <c r="C386" s="303">
        <f t="shared" si="5"/>
        <v>2.3083700000000009</v>
      </c>
    </row>
    <row r="387" spans="2:3" x14ac:dyDescent="0.25">
      <c r="B387" s="245">
        <v>45889</v>
      </c>
      <c r="C387" s="303">
        <f t="shared" si="5"/>
        <v>2.3083700000000009</v>
      </c>
    </row>
    <row r="388" spans="2:3" x14ac:dyDescent="0.25">
      <c r="B388" s="245">
        <v>45890</v>
      </c>
      <c r="C388" s="303">
        <f t="shared" si="5"/>
        <v>2.3083700000000009</v>
      </c>
    </row>
    <row r="389" spans="2:3" x14ac:dyDescent="0.25">
      <c r="B389" s="245">
        <v>45891</v>
      </c>
      <c r="C389" s="303">
        <f t="shared" si="5"/>
        <v>2.3083700000000009</v>
      </c>
    </row>
    <row r="390" spans="2:3" x14ac:dyDescent="0.25">
      <c r="B390" s="245">
        <v>45892</v>
      </c>
      <c r="C390" s="303">
        <f t="shared" si="5"/>
        <v>2.3083700000000009</v>
      </c>
    </row>
    <row r="391" spans="2:3" x14ac:dyDescent="0.25">
      <c r="B391" s="245">
        <v>45893</v>
      </c>
      <c r="C391" s="303">
        <f t="shared" si="5"/>
        <v>2.3083700000000009</v>
      </c>
    </row>
    <row r="392" spans="2:3" x14ac:dyDescent="0.25">
      <c r="B392" s="245">
        <v>45894</v>
      </c>
      <c r="C392" s="303">
        <f t="shared" si="5"/>
        <v>2.3083700000000009</v>
      </c>
    </row>
    <row r="393" spans="2:3" x14ac:dyDescent="0.25">
      <c r="B393" s="245">
        <v>45895</v>
      </c>
      <c r="C393" s="303">
        <f t="shared" si="5"/>
        <v>2.3083700000000009</v>
      </c>
    </row>
    <row r="394" spans="2:3" x14ac:dyDescent="0.25">
      <c r="B394" s="245">
        <v>45896</v>
      </c>
      <c r="C394" s="303">
        <f t="shared" si="5"/>
        <v>2.3083700000000009</v>
      </c>
    </row>
    <row r="395" spans="2:3" x14ac:dyDescent="0.25">
      <c r="B395" s="245">
        <v>45897</v>
      </c>
      <c r="C395" s="303">
        <f t="shared" si="5"/>
        <v>2.3083700000000009</v>
      </c>
    </row>
    <row r="396" spans="2:3" x14ac:dyDescent="0.25">
      <c r="B396" s="245">
        <v>45898</v>
      </c>
      <c r="C396" s="303">
        <f t="shared" si="5"/>
        <v>2.3083700000000009</v>
      </c>
    </row>
    <row r="397" spans="2:3" x14ac:dyDescent="0.25">
      <c r="B397" s="245">
        <v>45899</v>
      </c>
      <c r="C397" s="303">
        <f t="shared" si="5"/>
        <v>2.3083700000000009</v>
      </c>
    </row>
    <row r="398" spans="2:3" x14ac:dyDescent="0.25">
      <c r="B398" s="245">
        <v>45900</v>
      </c>
      <c r="C398" s="303">
        <f t="shared" si="5"/>
        <v>2.3083700000000009</v>
      </c>
    </row>
    <row r="399" spans="2:3" x14ac:dyDescent="0.25">
      <c r="B399" s="245">
        <v>45901</v>
      </c>
      <c r="C399" s="303">
        <f t="shared" si="5"/>
        <v>2.3083700000000009</v>
      </c>
    </row>
    <row r="400" spans="2:3" x14ac:dyDescent="0.25">
      <c r="B400" s="245">
        <v>45902</v>
      </c>
      <c r="C400" s="303">
        <f t="shared" si="5"/>
        <v>2.3083700000000009</v>
      </c>
    </row>
    <row r="401" spans="2:3" x14ac:dyDescent="0.25">
      <c r="B401" s="245">
        <v>45903</v>
      </c>
      <c r="C401" s="303">
        <f t="shared" si="5"/>
        <v>2.3083700000000009</v>
      </c>
    </row>
    <row r="402" spans="2:3" x14ac:dyDescent="0.25">
      <c r="B402" s="245">
        <v>45904</v>
      </c>
      <c r="C402" s="303">
        <f t="shared" si="5"/>
        <v>2.3083700000000009</v>
      </c>
    </row>
    <row r="403" spans="2:3" x14ac:dyDescent="0.25">
      <c r="B403" s="245">
        <v>45905</v>
      </c>
      <c r="C403" s="303">
        <f t="shared" si="5"/>
        <v>2.3083700000000009</v>
      </c>
    </row>
    <row r="404" spans="2:3" x14ac:dyDescent="0.25">
      <c r="B404" s="245">
        <v>45906</v>
      </c>
      <c r="C404" s="303">
        <f t="shared" si="5"/>
        <v>2.3083700000000009</v>
      </c>
    </row>
    <row r="405" spans="2:3" x14ac:dyDescent="0.25">
      <c r="B405" s="245">
        <v>45907</v>
      </c>
      <c r="C405" s="303">
        <f t="shared" si="5"/>
        <v>2.3083700000000009</v>
      </c>
    </row>
    <row r="406" spans="2:3" x14ac:dyDescent="0.25">
      <c r="B406" s="245">
        <v>45908</v>
      </c>
      <c r="C406" s="303">
        <f t="shared" si="5"/>
        <v>2.3083700000000009</v>
      </c>
    </row>
    <row r="407" spans="2:3" x14ac:dyDescent="0.25">
      <c r="B407" s="245">
        <v>45909</v>
      </c>
      <c r="C407" s="303">
        <f t="shared" si="5"/>
        <v>2.3083700000000009</v>
      </c>
    </row>
    <row r="408" spans="2:3" x14ac:dyDescent="0.25">
      <c r="B408" s="245">
        <v>45910</v>
      </c>
      <c r="C408" s="303">
        <f t="shared" si="5"/>
        <v>2.3083700000000009</v>
      </c>
    </row>
    <row r="409" spans="2:3" x14ac:dyDescent="0.25">
      <c r="B409" s="245">
        <v>45911</v>
      </c>
      <c r="C409" s="303">
        <f t="shared" si="5"/>
        <v>2.3083700000000009</v>
      </c>
    </row>
    <row r="410" spans="2:3" x14ac:dyDescent="0.25">
      <c r="B410" s="245">
        <v>45912</v>
      </c>
      <c r="C410" s="303">
        <f t="shared" si="5"/>
        <v>2.3083700000000009</v>
      </c>
    </row>
    <row r="411" spans="2:3" x14ac:dyDescent="0.25">
      <c r="B411" s="245">
        <v>45913</v>
      </c>
      <c r="C411" s="303">
        <f t="shared" si="5"/>
        <v>2.3083700000000009</v>
      </c>
    </row>
    <row r="412" spans="2:3" x14ac:dyDescent="0.25">
      <c r="B412" s="245">
        <v>45914</v>
      </c>
      <c r="C412" s="303">
        <f t="shared" si="5"/>
        <v>2.3083700000000009</v>
      </c>
    </row>
    <row r="413" spans="2:3" x14ac:dyDescent="0.25">
      <c r="B413" s="245">
        <v>45915</v>
      </c>
      <c r="C413" s="303">
        <f t="shared" si="5"/>
        <v>2.3083700000000009</v>
      </c>
    </row>
    <row r="414" spans="2:3" x14ac:dyDescent="0.25">
      <c r="B414" s="245">
        <v>45916</v>
      </c>
      <c r="C414" s="303">
        <f t="shared" si="5"/>
        <v>2.3083700000000009</v>
      </c>
    </row>
    <row r="415" spans="2:3" x14ac:dyDescent="0.25">
      <c r="B415" s="245">
        <v>45917</v>
      </c>
      <c r="C415" s="303">
        <f t="shared" si="5"/>
        <v>2.3083700000000009</v>
      </c>
    </row>
    <row r="416" spans="2:3" x14ac:dyDescent="0.25">
      <c r="B416" s="245">
        <v>45918</v>
      </c>
      <c r="C416" s="303">
        <f t="shared" si="5"/>
        <v>2.3083700000000009</v>
      </c>
    </row>
    <row r="417" spans="2:3" x14ac:dyDescent="0.25">
      <c r="B417" s="245">
        <v>45919</v>
      </c>
      <c r="C417" s="303">
        <f t="shared" si="5"/>
        <v>2.3083700000000009</v>
      </c>
    </row>
    <row r="418" spans="2:3" x14ac:dyDescent="0.25">
      <c r="B418" s="245">
        <v>45920</v>
      </c>
      <c r="C418" s="303">
        <f t="shared" si="5"/>
        <v>2.3083700000000009</v>
      </c>
    </row>
    <row r="419" spans="2:3" x14ac:dyDescent="0.25">
      <c r="B419" s="245">
        <v>45921</v>
      </c>
      <c r="C419" s="303">
        <f t="shared" si="5"/>
        <v>2.3083700000000009</v>
      </c>
    </row>
    <row r="420" spans="2:3" x14ac:dyDescent="0.25">
      <c r="B420" s="245">
        <v>45922</v>
      </c>
      <c r="C420" s="303">
        <f t="shared" si="5"/>
        <v>2.3083700000000009</v>
      </c>
    </row>
    <row r="421" spans="2:3" x14ac:dyDescent="0.25">
      <c r="B421" s="245">
        <v>45923</v>
      </c>
      <c r="C421" s="303">
        <f t="shared" si="5"/>
        <v>2.3083700000000009</v>
      </c>
    </row>
    <row r="422" spans="2:3" x14ac:dyDescent="0.25">
      <c r="B422" s="245">
        <v>45924</v>
      </c>
      <c r="C422" s="303">
        <f t="shared" si="5"/>
        <v>2.3083700000000009</v>
      </c>
    </row>
    <row r="423" spans="2:3" x14ac:dyDescent="0.25">
      <c r="B423" s="245">
        <v>45925</v>
      </c>
      <c r="C423" s="303">
        <f t="shared" si="5"/>
        <v>2.3083700000000009</v>
      </c>
    </row>
    <row r="424" spans="2:3" x14ac:dyDescent="0.25">
      <c r="B424" s="245">
        <v>45926</v>
      </c>
      <c r="C424" s="303">
        <f t="shared" si="5"/>
        <v>2.3083700000000009</v>
      </c>
    </row>
    <row r="425" spans="2:3" x14ac:dyDescent="0.25">
      <c r="B425" s="245">
        <v>45927</v>
      </c>
      <c r="C425" s="303">
        <f t="shared" si="5"/>
        <v>2.3083700000000009</v>
      </c>
    </row>
    <row r="426" spans="2:3" x14ac:dyDescent="0.25">
      <c r="B426" s="245">
        <v>45928</v>
      </c>
      <c r="C426" s="303">
        <f t="shared" si="5"/>
        <v>2.3083700000000009</v>
      </c>
    </row>
    <row r="427" spans="2:3" x14ac:dyDescent="0.25">
      <c r="B427" s="245">
        <v>45929</v>
      </c>
      <c r="C427" s="303">
        <f t="shared" si="5"/>
        <v>2.3083700000000009</v>
      </c>
    </row>
    <row r="428" spans="2:3" x14ac:dyDescent="0.25">
      <c r="B428" s="245">
        <v>45930</v>
      </c>
      <c r="C428" s="303">
        <f t="shared" si="5"/>
        <v>2.3083700000000009</v>
      </c>
    </row>
    <row r="429" spans="2:3" x14ac:dyDescent="0.25">
      <c r="B429" s="245">
        <v>45931</v>
      </c>
      <c r="C429" s="303">
        <f t="shared" si="5"/>
        <v>2.3083700000000009</v>
      </c>
    </row>
    <row r="430" spans="2:3" x14ac:dyDescent="0.25">
      <c r="B430" s="245">
        <v>45932</v>
      </c>
      <c r="C430" s="303">
        <f t="shared" si="5"/>
        <v>2.3083700000000009</v>
      </c>
    </row>
    <row r="431" spans="2:3" x14ac:dyDescent="0.25">
      <c r="B431" s="245">
        <v>45933</v>
      </c>
      <c r="C431" s="303">
        <f t="shared" si="5"/>
        <v>2.3083700000000009</v>
      </c>
    </row>
    <row r="432" spans="2:3" x14ac:dyDescent="0.25">
      <c r="B432" s="245">
        <v>45934</v>
      </c>
      <c r="C432" s="303">
        <f t="shared" ref="C432:C495" si="6">C431</f>
        <v>2.3083700000000009</v>
      </c>
    </row>
    <row r="433" spans="2:3" x14ac:dyDescent="0.25">
      <c r="B433" s="245">
        <v>45935</v>
      </c>
      <c r="C433" s="303">
        <f t="shared" si="6"/>
        <v>2.3083700000000009</v>
      </c>
    </row>
    <row r="434" spans="2:3" x14ac:dyDescent="0.25">
      <c r="B434" s="245">
        <v>45936</v>
      </c>
      <c r="C434" s="303">
        <f t="shared" si="6"/>
        <v>2.3083700000000009</v>
      </c>
    </row>
    <row r="435" spans="2:3" x14ac:dyDescent="0.25">
      <c r="B435" s="245">
        <v>45937</v>
      </c>
      <c r="C435" s="303">
        <f t="shared" si="6"/>
        <v>2.3083700000000009</v>
      </c>
    </row>
    <row r="436" spans="2:3" x14ac:dyDescent="0.25">
      <c r="B436" s="245">
        <v>45938</v>
      </c>
      <c r="C436" s="303">
        <f t="shared" si="6"/>
        <v>2.3083700000000009</v>
      </c>
    </row>
    <row r="437" spans="2:3" x14ac:dyDescent="0.25">
      <c r="B437" s="245">
        <v>45939</v>
      </c>
      <c r="C437" s="303">
        <f t="shared" si="6"/>
        <v>2.3083700000000009</v>
      </c>
    </row>
    <row r="438" spans="2:3" x14ac:dyDescent="0.25">
      <c r="B438" s="245">
        <v>45940</v>
      </c>
      <c r="C438" s="303">
        <f t="shared" si="6"/>
        <v>2.3083700000000009</v>
      </c>
    </row>
    <row r="439" spans="2:3" x14ac:dyDescent="0.25">
      <c r="B439" s="245">
        <v>45941</v>
      </c>
      <c r="C439" s="303">
        <f t="shared" si="6"/>
        <v>2.3083700000000009</v>
      </c>
    </row>
    <row r="440" spans="2:3" x14ac:dyDescent="0.25">
      <c r="B440" s="245">
        <v>45942</v>
      </c>
      <c r="C440" s="303">
        <f t="shared" si="6"/>
        <v>2.3083700000000009</v>
      </c>
    </row>
    <row r="441" spans="2:3" x14ac:dyDescent="0.25">
      <c r="B441" s="245">
        <v>45943</v>
      </c>
      <c r="C441" s="303">
        <f t="shared" si="6"/>
        <v>2.3083700000000009</v>
      </c>
    </row>
    <row r="442" spans="2:3" x14ac:dyDescent="0.25">
      <c r="B442" s="245">
        <v>45944</v>
      </c>
      <c r="C442" s="303">
        <f t="shared" si="6"/>
        <v>2.3083700000000009</v>
      </c>
    </row>
    <row r="443" spans="2:3" x14ac:dyDescent="0.25">
      <c r="B443" s="245">
        <v>45945</v>
      </c>
      <c r="C443" s="303">
        <f t="shared" si="6"/>
        <v>2.3083700000000009</v>
      </c>
    </row>
    <row r="444" spans="2:3" x14ac:dyDescent="0.25">
      <c r="B444" s="245">
        <v>45946</v>
      </c>
      <c r="C444" s="303">
        <f t="shared" si="6"/>
        <v>2.3083700000000009</v>
      </c>
    </row>
    <row r="445" spans="2:3" x14ac:dyDescent="0.25">
      <c r="B445" s="245">
        <v>45947</v>
      </c>
      <c r="C445" s="303">
        <f t="shared" si="6"/>
        <v>2.3083700000000009</v>
      </c>
    </row>
    <row r="446" spans="2:3" x14ac:dyDescent="0.25">
      <c r="B446" s="245">
        <v>45948</v>
      </c>
      <c r="C446" s="303">
        <f t="shared" si="6"/>
        <v>2.3083700000000009</v>
      </c>
    </row>
    <row r="447" spans="2:3" x14ac:dyDescent="0.25">
      <c r="B447" s="245">
        <v>45949</v>
      </c>
      <c r="C447" s="303">
        <f t="shared" si="6"/>
        <v>2.3083700000000009</v>
      </c>
    </row>
    <row r="448" spans="2:3" x14ac:dyDescent="0.25">
      <c r="B448" s="245">
        <v>45950</v>
      </c>
      <c r="C448" s="303">
        <f t="shared" si="6"/>
        <v>2.3083700000000009</v>
      </c>
    </row>
    <row r="449" spans="2:3" x14ac:dyDescent="0.25">
      <c r="B449" s="245">
        <v>45951</v>
      </c>
      <c r="C449" s="303">
        <f t="shared" si="6"/>
        <v>2.3083700000000009</v>
      </c>
    </row>
    <row r="450" spans="2:3" x14ac:dyDescent="0.25">
      <c r="B450" s="245">
        <v>45952</v>
      </c>
      <c r="C450" s="303">
        <f t="shared" si="6"/>
        <v>2.3083700000000009</v>
      </c>
    </row>
    <row r="451" spans="2:3" x14ac:dyDescent="0.25">
      <c r="B451" s="245">
        <v>45953</v>
      </c>
      <c r="C451" s="303">
        <f t="shared" si="6"/>
        <v>2.3083700000000009</v>
      </c>
    </row>
    <row r="452" spans="2:3" x14ac:dyDescent="0.25">
      <c r="B452" s="245">
        <v>45954</v>
      </c>
      <c r="C452" s="303">
        <f t="shared" si="6"/>
        <v>2.3083700000000009</v>
      </c>
    </row>
    <row r="453" spans="2:3" x14ac:dyDescent="0.25">
      <c r="B453" s="245">
        <v>45955</v>
      </c>
      <c r="C453" s="303">
        <f t="shared" si="6"/>
        <v>2.3083700000000009</v>
      </c>
    </row>
    <row r="454" spans="2:3" x14ac:dyDescent="0.25">
      <c r="B454" s="245">
        <v>45956</v>
      </c>
      <c r="C454" s="303">
        <f t="shared" si="6"/>
        <v>2.3083700000000009</v>
      </c>
    </row>
    <row r="455" spans="2:3" x14ac:dyDescent="0.25">
      <c r="B455" s="245">
        <v>45957</v>
      </c>
      <c r="C455" s="303">
        <f t="shared" si="6"/>
        <v>2.3083700000000009</v>
      </c>
    </row>
    <row r="456" spans="2:3" x14ac:dyDescent="0.25">
      <c r="B456" s="245">
        <v>45958</v>
      </c>
      <c r="C456" s="303">
        <f t="shared" si="6"/>
        <v>2.3083700000000009</v>
      </c>
    </row>
    <row r="457" spans="2:3" x14ac:dyDescent="0.25">
      <c r="B457" s="245">
        <v>45959</v>
      </c>
      <c r="C457" s="303">
        <f t="shared" si="6"/>
        <v>2.3083700000000009</v>
      </c>
    </row>
    <row r="458" spans="2:3" x14ac:dyDescent="0.25">
      <c r="B458" s="245">
        <v>45960</v>
      </c>
      <c r="C458" s="303">
        <f t="shared" si="6"/>
        <v>2.3083700000000009</v>
      </c>
    </row>
    <row r="459" spans="2:3" x14ac:dyDescent="0.25">
      <c r="B459" s="245">
        <v>45961</v>
      </c>
      <c r="C459" s="303">
        <f t="shared" si="6"/>
        <v>2.3083700000000009</v>
      </c>
    </row>
    <row r="460" spans="2:3" x14ac:dyDescent="0.25">
      <c r="B460" s="245">
        <v>45962</v>
      </c>
      <c r="C460" s="303">
        <f t="shared" si="6"/>
        <v>2.3083700000000009</v>
      </c>
    </row>
    <row r="461" spans="2:3" x14ac:dyDescent="0.25">
      <c r="B461" s="245">
        <v>45963</v>
      </c>
      <c r="C461" s="303">
        <f t="shared" si="6"/>
        <v>2.3083700000000009</v>
      </c>
    </row>
    <row r="462" spans="2:3" x14ac:dyDescent="0.25">
      <c r="B462" s="245">
        <v>45964</v>
      </c>
      <c r="C462" s="303">
        <f t="shared" si="6"/>
        <v>2.3083700000000009</v>
      </c>
    </row>
    <row r="463" spans="2:3" x14ac:dyDescent="0.25">
      <c r="B463" s="245">
        <v>45965</v>
      </c>
      <c r="C463" s="303">
        <f t="shared" si="6"/>
        <v>2.3083700000000009</v>
      </c>
    </row>
    <row r="464" spans="2:3" x14ac:dyDescent="0.25">
      <c r="B464" s="245">
        <v>45966</v>
      </c>
      <c r="C464" s="303">
        <f t="shared" si="6"/>
        <v>2.3083700000000009</v>
      </c>
    </row>
    <row r="465" spans="2:3" x14ac:dyDescent="0.25">
      <c r="B465" s="245">
        <v>45967</v>
      </c>
      <c r="C465" s="303">
        <f t="shared" si="6"/>
        <v>2.3083700000000009</v>
      </c>
    </row>
    <row r="466" spans="2:3" x14ac:dyDescent="0.25">
      <c r="B466" s="245">
        <v>45968</v>
      </c>
      <c r="C466" s="303">
        <f t="shared" si="6"/>
        <v>2.3083700000000009</v>
      </c>
    </row>
    <row r="467" spans="2:3" x14ac:dyDescent="0.25">
      <c r="B467" s="245">
        <v>45969</v>
      </c>
      <c r="C467" s="303">
        <f t="shared" si="6"/>
        <v>2.3083700000000009</v>
      </c>
    </row>
    <row r="468" spans="2:3" x14ac:dyDescent="0.25">
      <c r="B468" s="245">
        <v>45970</v>
      </c>
      <c r="C468" s="303">
        <f t="shared" si="6"/>
        <v>2.3083700000000009</v>
      </c>
    </row>
    <row r="469" spans="2:3" x14ac:dyDescent="0.25">
      <c r="B469" s="245">
        <v>45971</v>
      </c>
      <c r="C469" s="303">
        <f t="shared" si="6"/>
        <v>2.3083700000000009</v>
      </c>
    </row>
    <row r="470" spans="2:3" x14ac:dyDescent="0.25">
      <c r="B470" s="245">
        <v>45972</v>
      </c>
      <c r="C470" s="303">
        <f t="shared" si="6"/>
        <v>2.3083700000000009</v>
      </c>
    </row>
    <row r="471" spans="2:3" x14ac:dyDescent="0.25">
      <c r="B471" s="245">
        <v>45973</v>
      </c>
      <c r="C471" s="303">
        <f t="shared" si="6"/>
        <v>2.3083700000000009</v>
      </c>
    </row>
    <row r="472" spans="2:3" x14ac:dyDescent="0.25">
      <c r="B472" s="245">
        <v>45974</v>
      </c>
      <c r="C472" s="303">
        <f t="shared" si="6"/>
        <v>2.3083700000000009</v>
      </c>
    </row>
    <row r="473" spans="2:3" x14ac:dyDescent="0.25">
      <c r="B473" s="245">
        <v>45975</v>
      </c>
      <c r="C473" s="303">
        <f t="shared" si="6"/>
        <v>2.3083700000000009</v>
      </c>
    </row>
    <row r="474" spans="2:3" x14ac:dyDescent="0.25">
      <c r="B474" s="245">
        <v>45976</v>
      </c>
      <c r="C474" s="303">
        <f t="shared" si="6"/>
        <v>2.3083700000000009</v>
      </c>
    </row>
    <row r="475" spans="2:3" x14ac:dyDescent="0.25">
      <c r="B475" s="245">
        <v>45977</v>
      </c>
      <c r="C475" s="303">
        <f t="shared" si="6"/>
        <v>2.3083700000000009</v>
      </c>
    </row>
    <row r="476" spans="2:3" x14ac:dyDescent="0.25">
      <c r="B476" s="245">
        <v>45978</v>
      </c>
      <c r="C476" s="303">
        <f t="shared" si="6"/>
        <v>2.3083700000000009</v>
      </c>
    </row>
    <row r="477" spans="2:3" x14ac:dyDescent="0.25">
      <c r="B477" s="245">
        <v>45979</v>
      </c>
      <c r="C477" s="303">
        <f t="shared" si="6"/>
        <v>2.3083700000000009</v>
      </c>
    </row>
    <row r="478" spans="2:3" x14ac:dyDescent="0.25">
      <c r="B478" s="245">
        <v>45980</v>
      </c>
      <c r="C478" s="303">
        <f t="shared" si="6"/>
        <v>2.3083700000000009</v>
      </c>
    </row>
    <row r="479" spans="2:3" x14ac:dyDescent="0.25">
      <c r="B479" s="245">
        <v>45981</v>
      </c>
      <c r="C479" s="303">
        <f t="shared" si="6"/>
        <v>2.3083700000000009</v>
      </c>
    </row>
    <row r="480" spans="2:3" x14ac:dyDescent="0.25">
      <c r="B480" s="245">
        <v>45982</v>
      </c>
      <c r="C480" s="303">
        <f t="shared" si="6"/>
        <v>2.3083700000000009</v>
      </c>
    </row>
    <row r="481" spans="2:3" x14ac:dyDescent="0.25">
      <c r="B481" s="245">
        <v>45983</v>
      </c>
      <c r="C481" s="303">
        <f t="shared" si="6"/>
        <v>2.3083700000000009</v>
      </c>
    </row>
    <row r="482" spans="2:3" x14ac:dyDescent="0.25">
      <c r="B482" s="245">
        <v>45984</v>
      </c>
      <c r="C482" s="303">
        <f t="shared" si="6"/>
        <v>2.3083700000000009</v>
      </c>
    </row>
    <row r="483" spans="2:3" x14ac:dyDescent="0.25">
      <c r="B483" s="245">
        <v>45985</v>
      </c>
      <c r="C483" s="303">
        <f t="shared" si="6"/>
        <v>2.3083700000000009</v>
      </c>
    </row>
    <row r="484" spans="2:3" x14ac:dyDescent="0.25">
      <c r="B484" s="245">
        <v>45986</v>
      </c>
      <c r="C484" s="303">
        <f t="shared" si="6"/>
        <v>2.3083700000000009</v>
      </c>
    </row>
    <row r="485" spans="2:3" x14ac:dyDescent="0.25">
      <c r="B485" s="245">
        <v>45987</v>
      </c>
      <c r="C485" s="303">
        <f t="shared" si="6"/>
        <v>2.3083700000000009</v>
      </c>
    </row>
    <row r="486" spans="2:3" x14ac:dyDescent="0.25">
      <c r="B486" s="245">
        <v>45988</v>
      </c>
      <c r="C486" s="303">
        <f t="shared" si="6"/>
        <v>2.3083700000000009</v>
      </c>
    </row>
    <row r="487" spans="2:3" x14ac:dyDescent="0.25">
      <c r="B487" s="245">
        <v>45989</v>
      </c>
      <c r="C487" s="303">
        <f t="shared" si="6"/>
        <v>2.3083700000000009</v>
      </c>
    </row>
    <row r="488" spans="2:3" x14ac:dyDescent="0.25">
      <c r="B488" s="245">
        <v>45990</v>
      </c>
      <c r="C488" s="303">
        <f t="shared" si="6"/>
        <v>2.3083700000000009</v>
      </c>
    </row>
    <row r="489" spans="2:3" x14ac:dyDescent="0.25">
      <c r="B489" s="245">
        <v>45991</v>
      </c>
      <c r="C489" s="303">
        <f t="shared" si="6"/>
        <v>2.3083700000000009</v>
      </c>
    </row>
    <row r="490" spans="2:3" x14ac:dyDescent="0.25">
      <c r="B490" s="245">
        <v>45992</v>
      </c>
      <c r="C490" s="303">
        <f t="shared" si="6"/>
        <v>2.3083700000000009</v>
      </c>
    </row>
    <row r="491" spans="2:3" x14ac:dyDescent="0.25">
      <c r="B491" s="245">
        <v>45993</v>
      </c>
      <c r="C491" s="303">
        <f t="shared" si="6"/>
        <v>2.3083700000000009</v>
      </c>
    </row>
    <row r="492" spans="2:3" x14ac:dyDescent="0.25">
      <c r="B492" s="245">
        <v>45994</v>
      </c>
      <c r="C492" s="303">
        <f t="shared" si="6"/>
        <v>2.3083700000000009</v>
      </c>
    </row>
    <row r="493" spans="2:3" x14ac:dyDescent="0.25">
      <c r="B493" s="245">
        <v>45995</v>
      </c>
      <c r="C493" s="303">
        <f t="shared" si="6"/>
        <v>2.3083700000000009</v>
      </c>
    </row>
    <row r="494" spans="2:3" x14ac:dyDescent="0.25">
      <c r="B494" s="245">
        <v>45996</v>
      </c>
      <c r="C494" s="303">
        <f t="shared" si="6"/>
        <v>2.3083700000000009</v>
      </c>
    </row>
    <row r="495" spans="2:3" x14ac:dyDescent="0.25">
      <c r="B495" s="245">
        <v>45997</v>
      </c>
      <c r="C495" s="303">
        <f t="shared" si="6"/>
        <v>2.3083700000000009</v>
      </c>
    </row>
    <row r="496" spans="2:3" x14ac:dyDescent="0.25">
      <c r="B496" s="245">
        <v>45998</v>
      </c>
      <c r="C496" s="303">
        <f t="shared" ref="C496:C559" si="7">C495</f>
        <v>2.3083700000000009</v>
      </c>
    </row>
    <row r="497" spans="2:3" x14ac:dyDescent="0.25">
      <c r="B497" s="245">
        <v>45999</v>
      </c>
      <c r="C497" s="303">
        <f t="shared" si="7"/>
        <v>2.3083700000000009</v>
      </c>
    </row>
    <row r="498" spans="2:3" x14ac:dyDescent="0.25">
      <c r="B498" s="245">
        <v>46000</v>
      </c>
      <c r="C498" s="303">
        <f t="shared" si="7"/>
        <v>2.3083700000000009</v>
      </c>
    </row>
    <row r="499" spans="2:3" x14ac:dyDescent="0.25">
      <c r="B499" s="245">
        <v>46001</v>
      </c>
      <c r="C499" s="303">
        <f t="shared" si="7"/>
        <v>2.3083700000000009</v>
      </c>
    </row>
    <row r="500" spans="2:3" x14ac:dyDescent="0.25">
      <c r="B500" s="245">
        <v>46002</v>
      </c>
      <c r="C500" s="303">
        <f t="shared" si="7"/>
        <v>2.3083700000000009</v>
      </c>
    </row>
    <row r="501" spans="2:3" x14ac:dyDescent="0.25">
      <c r="B501" s="245">
        <v>46003</v>
      </c>
      <c r="C501" s="303">
        <f t="shared" si="7"/>
        <v>2.3083700000000009</v>
      </c>
    </row>
    <row r="502" spans="2:3" x14ac:dyDescent="0.25">
      <c r="B502" s="245">
        <v>46004</v>
      </c>
      <c r="C502" s="303">
        <f t="shared" si="7"/>
        <v>2.3083700000000009</v>
      </c>
    </row>
    <row r="503" spans="2:3" x14ac:dyDescent="0.25">
      <c r="B503" s="245">
        <v>46005</v>
      </c>
      <c r="C503" s="303">
        <f t="shared" si="7"/>
        <v>2.3083700000000009</v>
      </c>
    </row>
    <row r="504" spans="2:3" x14ac:dyDescent="0.25">
      <c r="B504" s="245">
        <v>46006</v>
      </c>
      <c r="C504" s="303">
        <f t="shared" si="7"/>
        <v>2.3083700000000009</v>
      </c>
    </row>
    <row r="505" spans="2:3" x14ac:dyDescent="0.25">
      <c r="B505" s="245">
        <v>46007</v>
      </c>
      <c r="C505" s="303">
        <f t="shared" si="7"/>
        <v>2.3083700000000009</v>
      </c>
    </row>
    <row r="506" spans="2:3" x14ac:dyDescent="0.25">
      <c r="B506" s="245">
        <v>46008</v>
      </c>
      <c r="C506" s="303">
        <f t="shared" si="7"/>
        <v>2.3083700000000009</v>
      </c>
    </row>
    <row r="507" spans="2:3" x14ac:dyDescent="0.25">
      <c r="B507" s="245">
        <v>46009</v>
      </c>
      <c r="C507" s="303">
        <f t="shared" si="7"/>
        <v>2.3083700000000009</v>
      </c>
    </row>
    <row r="508" spans="2:3" x14ac:dyDescent="0.25">
      <c r="B508" s="245">
        <v>46010</v>
      </c>
      <c r="C508" s="303">
        <f t="shared" si="7"/>
        <v>2.3083700000000009</v>
      </c>
    </row>
    <row r="509" spans="2:3" x14ac:dyDescent="0.25">
      <c r="B509" s="245">
        <v>46011</v>
      </c>
      <c r="C509" s="303">
        <f t="shared" si="7"/>
        <v>2.3083700000000009</v>
      </c>
    </row>
    <row r="510" spans="2:3" x14ac:dyDescent="0.25">
      <c r="B510" s="245">
        <v>46012</v>
      </c>
      <c r="C510" s="303">
        <f t="shared" si="7"/>
        <v>2.3083700000000009</v>
      </c>
    </row>
    <row r="511" spans="2:3" x14ac:dyDescent="0.25">
      <c r="B511" s="245">
        <v>46013</v>
      </c>
      <c r="C511" s="303">
        <f t="shared" si="7"/>
        <v>2.3083700000000009</v>
      </c>
    </row>
    <row r="512" spans="2:3" x14ac:dyDescent="0.25">
      <c r="B512" s="245">
        <v>46014</v>
      </c>
      <c r="C512" s="303">
        <f t="shared" si="7"/>
        <v>2.3083700000000009</v>
      </c>
    </row>
    <row r="513" spans="2:3" x14ac:dyDescent="0.25">
      <c r="B513" s="245">
        <v>46015</v>
      </c>
      <c r="C513" s="303">
        <f t="shared" si="7"/>
        <v>2.3083700000000009</v>
      </c>
    </row>
    <row r="514" spans="2:3" x14ac:dyDescent="0.25">
      <c r="B514" s="245">
        <v>46016</v>
      </c>
      <c r="C514" s="303">
        <f t="shared" si="7"/>
        <v>2.3083700000000009</v>
      </c>
    </row>
    <row r="515" spans="2:3" x14ac:dyDescent="0.25">
      <c r="B515" s="245">
        <v>46017</v>
      </c>
      <c r="C515" s="303">
        <f t="shared" si="7"/>
        <v>2.3083700000000009</v>
      </c>
    </row>
    <row r="516" spans="2:3" x14ac:dyDescent="0.25">
      <c r="B516" s="245">
        <v>46018</v>
      </c>
      <c r="C516" s="303">
        <f t="shared" si="7"/>
        <v>2.3083700000000009</v>
      </c>
    </row>
    <row r="517" spans="2:3" x14ac:dyDescent="0.25">
      <c r="B517" s="245">
        <v>46019</v>
      </c>
      <c r="C517" s="303">
        <f t="shared" si="7"/>
        <v>2.3083700000000009</v>
      </c>
    </row>
    <row r="518" spans="2:3" x14ac:dyDescent="0.25">
      <c r="B518" s="245">
        <v>46020</v>
      </c>
      <c r="C518" s="303">
        <f t="shared" si="7"/>
        <v>2.3083700000000009</v>
      </c>
    </row>
    <row r="519" spans="2:3" x14ac:dyDescent="0.25">
      <c r="B519" s="245">
        <v>46021</v>
      </c>
      <c r="C519" s="303">
        <f t="shared" si="7"/>
        <v>2.3083700000000009</v>
      </c>
    </row>
    <row r="520" spans="2:3" x14ac:dyDescent="0.25">
      <c r="B520" s="245">
        <v>46022</v>
      </c>
      <c r="C520" s="303">
        <f t="shared" si="7"/>
        <v>2.3083700000000009</v>
      </c>
    </row>
    <row r="521" spans="2:3" x14ac:dyDescent="0.25">
      <c r="B521" s="245">
        <v>46023</v>
      </c>
      <c r="C521" s="303">
        <f t="shared" si="7"/>
        <v>2.3083700000000009</v>
      </c>
    </row>
    <row r="522" spans="2:3" x14ac:dyDescent="0.25">
      <c r="B522" s="245">
        <v>46024</v>
      </c>
      <c r="C522" s="303">
        <f t="shared" si="7"/>
        <v>2.3083700000000009</v>
      </c>
    </row>
    <row r="523" spans="2:3" x14ac:dyDescent="0.25">
      <c r="B523" s="245">
        <v>46025</v>
      </c>
      <c r="C523" s="303">
        <f t="shared" si="7"/>
        <v>2.3083700000000009</v>
      </c>
    </row>
    <row r="524" spans="2:3" x14ac:dyDescent="0.25">
      <c r="B524" s="245">
        <v>46026</v>
      </c>
      <c r="C524" s="303">
        <f t="shared" si="7"/>
        <v>2.3083700000000009</v>
      </c>
    </row>
    <row r="525" spans="2:3" x14ac:dyDescent="0.25">
      <c r="B525" s="245">
        <v>46027</v>
      </c>
      <c r="C525" s="303">
        <f t="shared" si="7"/>
        <v>2.3083700000000009</v>
      </c>
    </row>
    <row r="526" spans="2:3" x14ac:dyDescent="0.25">
      <c r="B526" s="245">
        <v>46028</v>
      </c>
      <c r="C526" s="303">
        <f t="shared" si="7"/>
        <v>2.3083700000000009</v>
      </c>
    </row>
    <row r="527" spans="2:3" x14ac:dyDescent="0.25">
      <c r="B527" s="245">
        <v>46029</v>
      </c>
      <c r="C527" s="303">
        <f t="shared" si="7"/>
        <v>2.3083700000000009</v>
      </c>
    </row>
    <row r="528" spans="2:3" x14ac:dyDescent="0.25">
      <c r="B528" s="245">
        <v>46030</v>
      </c>
      <c r="C528" s="303">
        <f t="shared" si="7"/>
        <v>2.3083700000000009</v>
      </c>
    </row>
    <row r="529" spans="2:3" x14ac:dyDescent="0.25">
      <c r="B529" s="245">
        <v>46031</v>
      </c>
      <c r="C529" s="303">
        <f t="shared" si="7"/>
        <v>2.3083700000000009</v>
      </c>
    </row>
    <row r="530" spans="2:3" x14ac:dyDescent="0.25">
      <c r="B530" s="245">
        <v>46032</v>
      </c>
      <c r="C530" s="303">
        <f t="shared" si="7"/>
        <v>2.3083700000000009</v>
      </c>
    </row>
    <row r="531" spans="2:3" x14ac:dyDescent="0.25">
      <c r="B531" s="245">
        <v>46033</v>
      </c>
      <c r="C531" s="303">
        <f t="shared" si="7"/>
        <v>2.3083700000000009</v>
      </c>
    </row>
    <row r="532" spans="2:3" x14ac:dyDescent="0.25">
      <c r="B532" s="245">
        <v>46034</v>
      </c>
      <c r="C532" s="303">
        <f t="shared" si="7"/>
        <v>2.3083700000000009</v>
      </c>
    </row>
    <row r="533" spans="2:3" x14ac:dyDescent="0.25">
      <c r="B533" s="245">
        <v>46035</v>
      </c>
      <c r="C533" s="303">
        <f t="shared" si="7"/>
        <v>2.3083700000000009</v>
      </c>
    </row>
    <row r="534" spans="2:3" x14ac:dyDescent="0.25">
      <c r="B534" s="245">
        <v>46036</v>
      </c>
      <c r="C534" s="303">
        <f t="shared" si="7"/>
        <v>2.3083700000000009</v>
      </c>
    </row>
    <row r="535" spans="2:3" x14ac:dyDescent="0.25">
      <c r="B535" s="245">
        <v>46037</v>
      </c>
      <c r="C535" s="303">
        <f t="shared" si="7"/>
        <v>2.3083700000000009</v>
      </c>
    </row>
    <row r="536" spans="2:3" x14ac:dyDescent="0.25">
      <c r="B536" s="245">
        <v>46038</v>
      </c>
      <c r="C536" s="303">
        <f t="shared" si="7"/>
        <v>2.3083700000000009</v>
      </c>
    </row>
    <row r="537" spans="2:3" x14ac:dyDescent="0.25">
      <c r="B537" s="245">
        <v>46039</v>
      </c>
      <c r="C537" s="303">
        <f t="shared" si="7"/>
        <v>2.3083700000000009</v>
      </c>
    </row>
    <row r="538" spans="2:3" x14ac:dyDescent="0.25">
      <c r="B538" s="245">
        <v>46040</v>
      </c>
      <c r="C538" s="303">
        <f t="shared" si="7"/>
        <v>2.3083700000000009</v>
      </c>
    </row>
    <row r="539" spans="2:3" x14ac:dyDescent="0.25">
      <c r="B539" s="245">
        <v>46041</v>
      </c>
      <c r="C539" s="303">
        <f t="shared" si="7"/>
        <v>2.3083700000000009</v>
      </c>
    </row>
    <row r="540" spans="2:3" x14ac:dyDescent="0.25">
      <c r="B540" s="245">
        <v>46042</v>
      </c>
      <c r="C540" s="303">
        <f t="shared" si="7"/>
        <v>2.3083700000000009</v>
      </c>
    </row>
    <row r="541" spans="2:3" x14ac:dyDescent="0.25">
      <c r="B541" s="245">
        <v>46043</v>
      </c>
      <c r="C541" s="303">
        <f t="shared" si="7"/>
        <v>2.3083700000000009</v>
      </c>
    </row>
    <row r="542" spans="2:3" x14ac:dyDescent="0.25">
      <c r="B542" s="245">
        <v>46044</v>
      </c>
      <c r="C542" s="303">
        <f t="shared" si="7"/>
        <v>2.3083700000000009</v>
      </c>
    </row>
    <row r="543" spans="2:3" x14ac:dyDescent="0.25">
      <c r="B543" s="245">
        <v>46045</v>
      </c>
      <c r="C543" s="303">
        <f t="shared" si="7"/>
        <v>2.3083700000000009</v>
      </c>
    </row>
    <row r="544" spans="2:3" x14ac:dyDescent="0.25">
      <c r="B544" s="245">
        <v>46046</v>
      </c>
      <c r="C544" s="303">
        <f t="shared" si="7"/>
        <v>2.3083700000000009</v>
      </c>
    </row>
    <row r="545" spans="2:3" x14ac:dyDescent="0.25">
      <c r="B545" s="245">
        <v>46047</v>
      </c>
      <c r="C545" s="303">
        <f t="shared" si="7"/>
        <v>2.3083700000000009</v>
      </c>
    </row>
    <row r="546" spans="2:3" x14ac:dyDescent="0.25">
      <c r="B546" s="245">
        <v>46048</v>
      </c>
      <c r="C546" s="303">
        <f t="shared" si="7"/>
        <v>2.3083700000000009</v>
      </c>
    </row>
    <row r="547" spans="2:3" x14ac:dyDescent="0.25">
      <c r="B547" s="245">
        <v>46049</v>
      </c>
      <c r="C547" s="303">
        <f t="shared" si="7"/>
        <v>2.3083700000000009</v>
      </c>
    </row>
    <row r="548" spans="2:3" x14ac:dyDescent="0.25">
      <c r="B548" s="245">
        <v>46050</v>
      </c>
      <c r="C548" s="303">
        <f t="shared" si="7"/>
        <v>2.3083700000000009</v>
      </c>
    </row>
    <row r="549" spans="2:3" x14ac:dyDescent="0.25">
      <c r="B549" s="245">
        <v>46051</v>
      </c>
      <c r="C549" s="303">
        <f t="shared" si="7"/>
        <v>2.3083700000000009</v>
      </c>
    </row>
    <row r="550" spans="2:3" x14ac:dyDescent="0.25">
      <c r="B550" s="245">
        <v>46052</v>
      </c>
      <c r="C550" s="303">
        <f t="shared" si="7"/>
        <v>2.3083700000000009</v>
      </c>
    </row>
    <row r="551" spans="2:3" x14ac:dyDescent="0.25">
      <c r="B551" s="245">
        <v>46053</v>
      </c>
      <c r="C551" s="303">
        <f t="shared" si="7"/>
        <v>2.3083700000000009</v>
      </c>
    </row>
    <row r="552" spans="2:3" x14ac:dyDescent="0.25">
      <c r="B552" s="245">
        <v>46054</v>
      </c>
      <c r="C552" s="303">
        <f t="shared" si="7"/>
        <v>2.3083700000000009</v>
      </c>
    </row>
    <row r="553" spans="2:3" x14ac:dyDescent="0.25">
      <c r="B553" s="245">
        <v>46055</v>
      </c>
      <c r="C553" s="303">
        <f t="shared" si="7"/>
        <v>2.3083700000000009</v>
      </c>
    </row>
    <row r="554" spans="2:3" x14ac:dyDescent="0.25">
      <c r="B554" s="245">
        <v>46056</v>
      </c>
      <c r="C554" s="303">
        <f t="shared" si="7"/>
        <v>2.3083700000000009</v>
      </c>
    </row>
    <row r="555" spans="2:3" x14ac:dyDescent="0.25">
      <c r="B555" s="245">
        <v>46057</v>
      </c>
      <c r="C555" s="303">
        <f t="shared" si="7"/>
        <v>2.3083700000000009</v>
      </c>
    </row>
    <row r="556" spans="2:3" x14ac:dyDescent="0.25">
      <c r="B556" s="245">
        <v>46058</v>
      </c>
      <c r="C556" s="303">
        <f t="shared" si="7"/>
        <v>2.3083700000000009</v>
      </c>
    </row>
    <row r="557" spans="2:3" x14ac:dyDescent="0.25">
      <c r="B557" s="245">
        <v>46059</v>
      </c>
      <c r="C557" s="303">
        <f t="shared" si="7"/>
        <v>2.3083700000000009</v>
      </c>
    </row>
    <row r="558" spans="2:3" x14ac:dyDescent="0.25">
      <c r="B558" s="245">
        <v>46060</v>
      </c>
      <c r="C558" s="303">
        <f t="shared" si="7"/>
        <v>2.3083700000000009</v>
      </c>
    </row>
    <row r="559" spans="2:3" x14ac:dyDescent="0.25">
      <c r="B559" s="245">
        <v>46061</v>
      </c>
      <c r="C559" s="303">
        <f t="shared" si="7"/>
        <v>2.3083700000000009</v>
      </c>
    </row>
    <row r="560" spans="2:3" x14ac:dyDescent="0.25">
      <c r="B560" s="245">
        <v>46062</v>
      </c>
      <c r="C560" s="303">
        <f t="shared" ref="C560:C623" si="8">C559</f>
        <v>2.3083700000000009</v>
      </c>
    </row>
    <row r="561" spans="2:3" x14ac:dyDescent="0.25">
      <c r="B561" s="245">
        <v>46063</v>
      </c>
      <c r="C561" s="303">
        <f t="shared" si="8"/>
        <v>2.3083700000000009</v>
      </c>
    </row>
    <row r="562" spans="2:3" x14ac:dyDescent="0.25">
      <c r="B562" s="245">
        <v>46064</v>
      </c>
      <c r="C562" s="303">
        <f t="shared" si="8"/>
        <v>2.3083700000000009</v>
      </c>
    </row>
    <row r="563" spans="2:3" x14ac:dyDescent="0.25">
      <c r="B563" s="245">
        <v>46065</v>
      </c>
      <c r="C563" s="303">
        <f t="shared" si="8"/>
        <v>2.3083700000000009</v>
      </c>
    </row>
    <row r="564" spans="2:3" x14ac:dyDescent="0.25">
      <c r="B564" s="245">
        <v>46066</v>
      </c>
      <c r="C564" s="303">
        <f t="shared" si="8"/>
        <v>2.3083700000000009</v>
      </c>
    </row>
    <row r="565" spans="2:3" x14ac:dyDescent="0.25">
      <c r="B565" s="245">
        <v>46067</v>
      </c>
      <c r="C565" s="303">
        <f t="shared" si="8"/>
        <v>2.3083700000000009</v>
      </c>
    </row>
    <row r="566" spans="2:3" x14ac:dyDescent="0.25">
      <c r="B566" s="245">
        <v>46068</v>
      </c>
      <c r="C566" s="303">
        <f t="shared" si="8"/>
        <v>2.3083700000000009</v>
      </c>
    </row>
    <row r="567" spans="2:3" x14ac:dyDescent="0.25">
      <c r="B567" s="245">
        <v>46069</v>
      </c>
      <c r="C567" s="303">
        <f t="shared" si="8"/>
        <v>2.3083700000000009</v>
      </c>
    </row>
    <row r="568" spans="2:3" x14ac:dyDescent="0.25">
      <c r="B568" s="245">
        <v>46070</v>
      </c>
      <c r="C568" s="303">
        <f t="shared" si="8"/>
        <v>2.3083700000000009</v>
      </c>
    </row>
    <row r="569" spans="2:3" x14ac:dyDescent="0.25">
      <c r="B569" s="245">
        <v>46071</v>
      </c>
      <c r="C569" s="303">
        <f t="shared" si="8"/>
        <v>2.3083700000000009</v>
      </c>
    </row>
    <row r="570" spans="2:3" x14ac:dyDescent="0.25">
      <c r="B570" s="245">
        <v>46072</v>
      </c>
      <c r="C570" s="303">
        <f t="shared" si="8"/>
        <v>2.3083700000000009</v>
      </c>
    </row>
    <row r="571" spans="2:3" x14ac:dyDescent="0.25">
      <c r="B571" s="245">
        <v>46073</v>
      </c>
      <c r="C571" s="303">
        <f t="shared" si="8"/>
        <v>2.3083700000000009</v>
      </c>
    </row>
    <row r="572" spans="2:3" x14ac:dyDescent="0.25">
      <c r="B572" s="245">
        <v>46074</v>
      </c>
      <c r="C572" s="303">
        <f t="shared" si="8"/>
        <v>2.3083700000000009</v>
      </c>
    </row>
    <row r="573" spans="2:3" x14ac:dyDescent="0.25">
      <c r="B573" s="245">
        <v>46075</v>
      </c>
      <c r="C573" s="303">
        <f t="shared" si="8"/>
        <v>2.3083700000000009</v>
      </c>
    </row>
    <row r="574" spans="2:3" x14ac:dyDescent="0.25">
      <c r="B574" s="245">
        <v>46076</v>
      </c>
      <c r="C574" s="303">
        <f t="shared" si="8"/>
        <v>2.3083700000000009</v>
      </c>
    </row>
    <row r="575" spans="2:3" x14ac:dyDescent="0.25">
      <c r="B575" s="245">
        <v>46077</v>
      </c>
      <c r="C575" s="303">
        <f t="shared" si="8"/>
        <v>2.3083700000000009</v>
      </c>
    </row>
    <row r="576" spans="2:3" x14ac:dyDescent="0.25">
      <c r="B576" s="245">
        <v>46078</v>
      </c>
      <c r="C576" s="303">
        <f t="shared" si="8"/>
        <v>2.3083700000000009</v>
      </c>
    </row>
    <row r="577" spans="2:3" x14ac:dyDescent="0.25">
      <c r="B577" s="245">
        <v>46079</v>
      </c>
      <c r="C577" s="303">
        <f t="shared" si="8"/>
        <v>2.3083700000000009</v>
      </c>
    </row>
    <row r="578" spans="2:3" x14ac:dyDescent="0.25">
      <c r="B578" s="245">
        <v>46080</v>
      </c>
      <c r="C578" s="303">
        <f t="shared" si="8"/>
        <v>2.3083700000000009</v>
      </c>
    </row>
    <row r="579" spans="2:3" x14ac:dyDescent="0.25">
      <c r="B579" s="245">
        <v>46081</v>
      </c>
      <c r="C579" s="303">
        <f t="shared" si="8"/>
        <v>2.3083700000000009</v>
      </c>
    </row>
    <row r="580" spans="2:3" x14ac:dyDescent="0.25">
      <c r="B580" s="245">
        <v>46082</v>
      </c>
      <c r="C580" s="303">
        <f t="shared" si="8"/>
        <v>2.3083700000000009</v>
      </c>
    </row>
    <row r="581" spans="2:3" x14ac:dyDescent="0.25">
      <c r="B581" s="245">
        <v>46083</v>
      </c>
      <c r="C581" s="303">
        <f t="shared" si="8"/>
        <v>2.3083700000000009</v>
      </c>
    </row>
    <row r="582" spans="2:3" x14ac:dyDescent="0.25">
      <c r="B582" s="245">
        <v>46084</v>
      </c>
      <c r="C582" s="303">
        <f t="shared" si="8"/>
        <v>2.3083700000000009</v>
      </c>
    </row>
    <row r="583" spans="2:3" x14ac:dyDescent="0.25">
      <c r="B583" s="245">
        <v>46085</v>
      </c>
      <c r="C583" s="303">
        <f t="shared" si="8"/>
        <v>2.3083700000000009</v>
      </c>
    </row>
    <row r="584" spans="2:3" x14ac:dyDescent="0.25">
      <c r="B584" s="245">
        <v>46086</v>
      </c>
      <c r="C584" s="303">
        <f t="shared" si="8"/>
        <v>2.3083700000000009</v>
      </c>
    </row>
    <row r="585" spans="2:3" x14ac:dyDescent="0.25">
      <c r="B585" s="245">
        <v>46087</v>
      </c>
      <c r="C585" s="303">
        <f t="shared" si="8"/>
        <v>2.3083700000000009</v>
      </c>
    </row>
    <row r="586" spans="2:3" x14ac:dyDescent="0.25">
      <c r="B586" s="245">
        <v>46088</v>
      </c>
      <c r="C586" s="303">
        <f t="shared" si="8"/>
        <v>2.3083700000000009</v>
      </c>
    </row>
    <row r="587" spans="2:3" x14ac:dyDescent="0.25">
      <c r="B587" s="245">
        <v>46089</v>
      </c>
      <c r="C587" s="303">
        <f t="shared" si="8"/>
        <v>2.3083700000000009</v>
      </c>
    </row>
    <row r="588" spans="2:3" x14ac:dyDescent="0.25">
      <c r="B588" s="245">
        <v>46090</v>
      </c>
      <c r="C588" s="303">
        <f t="shared" si="8"/>
        <v>2.3083700000000009</v>
      </c>
    </row>
    <row r="589" spans="2:3" x14ac:dyDescent="0.25">
      <c r="B589" s="245">
        <v>46091</v>
      </c>
      <c r="C589" s="303">
        <f t="shared" si="8"/>
        <v>2.3083700000000009</v>
      </c>
    </row>
    <row r="590" spans="2:3" x14ac:dyDescent="0.25">
      <c r="B590" s="245">
        <v>46092</v>
      </c>
      <c r="C590" s="303">
        <f t="shared" si="8"/>
        <v>2.3083700000000009</v>
      </c>
    </row>
    <row r="591" spans="2:3" x14ac:dyDescent="0.25">
      <c r="B591" s="245">
        <v>46093</v>
      </c>
      <c r="C591" s="303">
        <f t="shared" si="8"/>
        <v>2.3083700000000009</v>
      </c>
    </row>
    <row r="592" spans="2:3" x14ac:dyDescent="0.25">
      <c r="B592" s="245">
        <v>46094</v>
      </c>
      <c r="C592" s="303">
        <f t="shared" si="8"/>
        <v>2.3083700000000009</v>
      </c>
    </row>
    <row r="593" spans="2:3" x14ac:dyDescent="0.25">
      <c r="B593" s="245">
        <v>46095</v>
      </c>
      <c r="C593" s="303">
        <f t="shared" si="8"/>
        <v>2.3083700000000009</v>
      </c>
    </row>
    <row r="594" spans="2:3" x14ac:dyDescent="0.25">
      <c r="B594" s="245">
        <v>46096</v>
      </c>
      <c r="C594" s="303">
        <f t="shared" si="8"/>
        <v>2.3083700000000009</v>
      </c>
    </row>
    <row r="595" spans="2:3" x14ac:dyDescent="0.25">
      <c r="B595" s="245">
        <v>46097</v>
      </c>
      <c r="C595" s="303">
        <f t="shared" si="8"/>
        <v>2.3083700000000009</v>
      </c>
    </row>
    <row r="596" spans="2:3" x14ac:dyDescent="0.25">
      <c r="B596" s="245">
        <v>46098</v>
      </c>
      <c r="C596" s="303">
        <f t="shared" si="8"/>
        <v>2.3083700000000009</v>
      </c>
    </row>
    <row r="597" spans="2:3" x14ac:dyDescent="0.25">
      <c r="B597" s="245">
        <v>46099</v>
      </c>
      <c r="C597" s="303">
        <f t="shared" si="8"/>
        <v>2.3083700000000009</v>
      </c>
    </row>
    <row r="598" spans="2:3" x14ac:dyDescent="0.25">
      <c r="B598" s="245">
        <v>46100</v>
      </c>
      <c r="C598" s="303">
        <f t="shared" si="8"/>
        <v>2.3083700000000009</v>
      </c>
    </row>
    <row r="599" spans="2:3" x14ac:dyDescent="0.25">
      <c r="B599" s="245">
        <v>46101</v>
      </c>
      <c r="C599" s="303">
        <f t="shared" si="8"/>
        <v>2.3083700000000009</v>
      </c>
    </row>
    <row r="600" spans="2:3" x14ac:dyDescent="0.25">
      <c r="B600" s="245">
        <v>46102</v>
      </c>
      <c r="C600" s="303">
        <f t="shared" si="8"/>
        <v>2.3083700000000009</v>
      </c>
    </row>
    <row r="601" spans="2:3" x14ac:dyDescent="0.25">
      <c r="B601" s="245">
        <v>46103</v>
      </c>
      <c r="C601" s="303">
        <f t="shared" si="8"/>
        <v>2.3083700000000009</v>
      </c>
    </row>
    <row r="602" spans="2:3" x14ac:dyDescent="0.25">
      <c r="B602" s="245">
        <v>46104</v>
      </c>
      <c r="C602" s="303">
        <f t="shared" si="8"/>
        <v>2.3083700000000009</v>
      </c>
    </row>
    <row r="603" spans="2:3" x14ac:dyDescent="0.25">
      <c r="B603" s="245">
        <v>46105</v>
      </c>
      <c r="C603" s="303">
        <f t="shared" si="8"/>
        <v>2.3083700000000009</v>
      </c>
    </row>
    <row r="604" spans="2:3" x14ac:dyDescent="0.25">
      <c r="B604" s="245">
        <v>46106</v>
      </c>
      <c r="C604" s="303">
        <f t="shared" si="8"/>
        <v>2.3083700000000009</v>
      </c>
    </row>
    <row r="605" spans="2:3" x14ac:dyDescent="0.25">
      <c r="B605" s="245">
        <v>46107</v>
      </c>
      <c r="C605" s="303">
        <f t="shared" si="8"/>
        <v>2.3083700000000009</v>
      </c>
    </row>
    <row r="606" spans="2:3" x14ac:dyDescent="0.25">
      <c r="B606" s="245">
        <v>46108</v>
      </c>
      <c r="C606" s="303">
        <f t="shared" si="8"/>
        <v>2.3083700000000009</v>
      </c>
    </row>
    <row r="607" spans="2:3" x14ac:dyDescent="0.25">
      <c r="B607" s="245">
        <v>46109</v>
      </c>
      <c r="C607" s="303">
        <f t="shared" si="8"/>
        <v>2.3083700000000009</v>
      </c>
    </row>
    <row r="608" spans="2:3" x14ac:dyDescent="0.25">
      <c r="B608" s="245">
        <v>46110</v>
      </c>
      <c r="C608" s="303">
        <f t="shared" si="8"/>
        <v>2.3083700000000009</v>
      </c>
    </row>
    <row r="609" spans="2:3" x14ac:dyDescent="0.25">
      <c r="B609" s="245">
        <v>46111</v>
      </c>
      <c r="C609" s="303">
        <f t="shared" si="8"/>
        <v>2.3083700000000009</v>
      </c>
    </row>
    <row r="610" spans="2:3" x14ac:dyDescent="0.25">
      <c r="B610" s="245">
        <v>46112</v>
      </c>
      <c r="C610" s="303">
        <f t="shared" si="8"/>
        <v>2.3083700000000009</v>
      </c>
    </row>
    <row r="611" spans="2:3" x14ac:dyDescent="0.25">
      <c r="B611" s="245">
        <v>46113</v>
      </c>
      <c r="C611" s="303">
        <f t="shared" si="8"/>
        <v>2.3083700000000009</v>
      </c>
    </row>
    <row r="612" spans="2:3" x14ac:dyDescent="0.25">
      <c r="B612" s="245">
        <v>46114</v>
      </c>
      <c r="C612" s="303">
        <f t="shared" si="8"/>
        <v>2.3083700000000009</v>
      </c>
    </row>
    <row r="613" spans="2:3" x14ac:dyDescent="0.25">
      <c r="B613" s="245">
        <v>46115</v>
      </c>
      <c r="C613" s="303">
        <f t="shared" si="8"/>
        <v>2.3083700000000009</v>
      </c>
    </row>
    <row r="614" spans="2:3" x14ac:dyDescent="0.25">
      <c r="B614" s="245">
        <v>46116</v>
      </c>
      <c r="C614" s="303">
        <f t="shared" si="8"/>
        <v>2.3083700000000009</v>
      </c>
    </row>
    <row r="615" spans="2:3" x14ac:dyDescent="0.25">
      <c r="B615" s="245">
        <v>46117</v>
      </c>
      <c r="C615" s="303">
        <f t="shared" si="8"/>
        <v>2.3083700000000009</v>
      </c>
    </row>
    <row r="616" spans="2:3" x14ac:dyDescent="0.25">
      <c r="B616" s="245">
        <v>46118</v>
      </c>
      <c r="C616" s="303">
        <f t="shared" si="8"/>
        <v>2.3083700000000009</v>
      </c>
    </row>
    <row r="617" spans="2:3" x14ac:dyDescent="0.25">
      <c r="B617" s="245">
        <v>46119</v>
      </c>
      <c r="C617" s="303">
        <f t="shared" si="8"/>
        <v>2.3083700000000009</v>
      </c>
    </row>
    <row r="618" spans="2:3" x14ac:dyDescent="0.25">
      <c r="B618" s="245">
        <v>46120</v>
      </c>
      <c r="C618" s="303">
        <f t="shared" si="8"/>
        <v>2.3083700000000009</v>
      </c>
    </row>
    <row r="619" spans="2:3" x14ac:dyDescent="0.25">
      <c r="B619" s="245">
        <v>46121</v>
      </c>
      <c r="C619" s="303">
        <f t="shared" si="8"/>
        <v>2.3083700000000009</v>
      </c>
    </row>
    <row r="620" spans="2:3" x14ac:dyDescent="0.25">
      <c r="B620" s="245">
        <v>46122</v>
      </c>
      <c r="C620" s="303">
        <f t="shared" si="8"/>
        <v>2.3083700000000009</v>
      </c>
    </row>
    <row r="621" spans="2:3" x14ac:dyDescent="0.25">
      <c r="B621" s="245">
        <v>46123</v>
      </c>
      <c r="C621" s="303">
        <f t="shared" si="8"/>
        <v>2.3083700000000009</v>
      </c>
    </row>
    <row r="622" spans="2:3" x14ac:dyDescent="0.25">
      <c r="B622" s="245">
        <v>46124</v>
      </c>
      <c r="C622" s="303">
        <f t="shared" si="8"/>
        <v>2.3083700000000009</v>
      </c>
    </row>
    <row r="623" spans="2:3" x14ac:dyDescent="0.25">
      <c r="B623" s="245">
        <v>46125</v>
      </c>
      <c r="C623" s="303">
        <f t="shared" si="8"/>
        <v>2.3083700000000009</v>
      </c>
    </row>
    <row r="624" spans="2:3" x14ac:dyDescent="0.25">
      <c r="B624" s="245">
        <v>46126</v>
      </c>
      <c r="C624" s="303">
        <f t="shared" ref="C624:C687" si="9">C623</f>
        <v>2.3083700000000009</v>
      </c>
    </row>
    <row r="625" spans="2:3" x14ac:dyDescent="0.25">
      <c r="B625" s="245">
        <v>46127</v>
      </c>
      <c r="C625" s="303">
        <f t="shared" si="9"/>
        <v>2.3083700000000009</v>
      </c>
    </row>
    <row r="626" spans="2:3" x14ac:dyDescent="0.25">
      <c r="B626" s="245">
        <v>46128</v>
      </c>
      <c r="C626" s="303">
        <f t="shared" si="9"/>
        <v>2.3083700000000009</v>
      </c>
    </row>
    <row r="627" spans="2:3" x14ac:dyDescent="0.25">
      <c r="B627" s="245">
        <v>46129</v>
      </c>
      <c r="C627" s="303">
        <f t="shared" si="9"/>
        <v>2.3083700000000009</v>
      </c>
    </row>
    <row r="628" spans="2:3" x14ac:dyDescent="0.25">
      <c r="B628" s="245">
        <v>46130</v>
      </c>
      <c r="C628" s="303">
        <f t="shared" si="9"/>
        <v>2.3083700000000009</v>
      </c>
    </row>
    <row r="629" spans="2:3" x14ac:dyDescent="0.25">
      <c r="B629" s="245">
        <v>46131</v>
      </c>
      <c r="C629" s="303">
        <f t="shared" si="9"/>
        <v>2.3083700000000009</v>
      </c>
    </row>
    <row r="630" spans="2:3" x14ac:dyDescent="0.25">
      <c r="B630" s="245">
        <v>46132</v>
      </c>
      <c r="C630" s="303">
        <f t="shared" si="9"/>
        <v>2.3083700000000009</v>
      </c>
    </row>
    <row r="631" spans="2:3" x14ac:dyDescent="0.25">
      <c r="B631" s="245">
        <v>46133</v>
      </c>
      <c r="C631" s="303">
        <f t="shared" si="9"/>
        <v>2.3083700000000009</v>
      </c>
    </row>
    <row r="632" spans="2:3" x14ac:dyDescent="0.25">
      <c r="B632" s="245">
        <v>46134</v>
      </c>
      <c r="C632" s="303">
        <f t="shared" si="9"/>
        <v>2.3083700000000009</v>
      </c>
    </row>
    <row r="633" spans="2:3" x14ac:dyDescent="0.25">
      <c r="B633" s="245">
        <v>46135</v>
      </c>
      <c r="C633" s="303">
        <f t="shared" si="9"/>
        <v>2.3083700000000009</v>
      </c>
    </row>
    <row r="634" spans="2:3" x14ac:dyDescent="0.25">
      <c r="B634" s="245">
        <v>46136</v>
      </c>
      <c r="C634" s="303">
        <f t="shared" si="9"/>
        <v>2.3083700000000009</v>
      </c>
    </row>
    <row r="635" spans="2:3" x14ac:dyDescent="0.25">
      <c r="B635" s="245">
        <v>46137</v>
      </c>
      <c r="C635" s="303">
        <f t="shared" si="9"/>
        <v>2.3083700000000009</v>
      </c>
    </row>
    <row r="636" spans="2:3" x14ac:dyDescent="0.25">
      <c r="B636" s="245">
        <v>46138</v>
      </c>
      <c r="C636" s="303">
        <f t="shared" si="9"/>
        <v>2.3083700000000009</v>
      </c>
    </row>
    <row r="637" spans="2:3" x14ac:dyDescent="0.25">
      <c r="B637" s="245">
        <v>46139</v>
      </c>
      <c r="C637" s="303">
        <f t="shared" si="9"/>
        <v>2.3083700000000009</v>
      </c>
    </row>
    <row r="638" spans="2:3" x14ac:dyDescent="0.25">
      <c r="B638" s="245">
        <v>46140</v>
      </c>
      <c r="C638" s="303">
        <f t="shared" si="9"/>
        <v>2.3083700000000009</v>
      </c>
    </row>
    <row r="639" spans="2:3" x14ac:dyDescent="0.25">
      <c r="B639" s="245">
        <v>46141</v>
      </c>
      <c r="C639" s="303">
        <f t="shared" si="9"/>
        <v>2.3083700000000009</v>
      </c>
    </row>
    <row r="640" spans="2:3" x14ac:dyDescent="0.25">
      <c r="B640" s="245">
        <v>46142</v>
      </c>
      <c r="C640" s="303">
        <f t="shared" si="9"/>
        <v>2.3083700000000009</v>
      </c>
    </row>
    <row r="641" spans="2:3" x14ac:dyDescent="0.25">
      <c r="B641" s="245">
        <v>46143</v>
      </c>
      <c r="C641" s="303">
        <f t="shared" si="9"/>
        <v>2.3083700000000009</v>
      </c>
    </row>
    <row r="642" spans="2:3" x14ac:dyDescent="0.25">
      <c r="B642" s="245">
        <v>46144</v>
      </c>
      <c r="C642" s="303">
        <f t="shared" si="9"/>
        <v>2.3083700000000009</v>
      </c>
    </row>
    <row r="643" spans="2:3" x14ac:dyDescent="0.25">
      <c r="B643" s="245">
        <v>46145</v>
      </c>
      <c r="C643" s="303">
        <f t="shared" si="9"/>
        <v>2.3083700000000009</v>
      </c>
    </row>
    <row r="644" spans="2:3" x14ac:dyDescent="0.25">
      <c r="B644" s="245">
        <v>46146</v>
      </c>
      <c r="C644" s="303">
        <f t="shared" si="9"/>
        <v>2.3083700000000009</v>
      </c>
    </row>
    <row r="645" spans="2:3" x14ac:dyDescent="0.25">
      <c r="B645" s="245">
        <v>46147</v>
      </c>
      <c r="C645" s="303">
        <f t="shared" si="9"/>
        <v>2.3083700000000009</v>
      </c>
    </row>
    <row r="646" spans="2:3" x14ac:dyDescent="0.25">
      <c r="B646" s="245">
        <v>46148</v>
      </c>
      <c r="C646" s="303">
        <f t="shared" si="9"/>
        <v>2.3083700000000009</v>
      </c>
    </row>
    <row r="647" spans="2:3" x14ac:dyDescent="0.25">
      <c r="B647" s="245">
        <v>46149</v>
      </c>
      <c r="C647" s="303">
        <f t="shared" si="9"/>
        <v>2.3083700000000009</v>
      </c>
    </row>
    <row r="648" spans="2:3" x14ac:dyDescent="0.25">
      <c r="B648" s="245">
        <v>46150</v>
      </c>
      <c r="C648" s="303">
        <f t="shared" si="9"/>
        <v>2.3083700000000009</v>
      </c>
    </row>
    <row r="649" spans="2:3" x14ac:dyDescent="0.25">
      <c r="B649" s="245">
        <v>46151</v>
      </c>
      <c r="C649" s="303">
        <f t="shared" si="9"/>
        <v>2.3083700000000009</v>
      </c>
    </row>
    <row r="650" spans="2:3" x14ac:dyDescent="0.25">
      <c r="B650" s="245">
        <v>46152</v>
      </c>
      <c r="C650" s="303">
        <f t="shared" si="9"/>
        <v>2.3083700000000009</v>
      </c>
    </row>
    <row r="651" spans="2:3" x14ac:dyDescent="0.25">
      <c r="B651" s="245">
        <v>46153</v>
      </c>
      <c r="C651" s="303">
        <f t="shared" si="9"/>
        <v>2.3083700000000009</v>
      </c>
    </row>
    <row r="652" spans="2:3" x14ac:dyDescent="0.25">
      <c r="B652" s="245">
        <v>46154</v>
      </c>
      <c r="C652" s="303">
        <f t="shared" si="9"/>
        <v>2.3083700000000009</v>
      </c>
    </row>
    <row r="653" spans="2:3" x14ac:dyDescent="0.25">
      <c r="B653" s="245">
        <v>46155</v>
      </c>
      <c r="C653" s="303">
        <f t="shared" si="9"/>
        <v>2.3083700000000009</v>
      </c>
    </row>
    <row r="654" spans="2:3" x14ac:dyDescent="0.25">
      <c r="B654" s="245">
        <v>46156</v>
      </c>
      <c r="C654" s="303">
        <f t="shared" si="9"/>
        <v>2.3083700000000009</v>
      </c>
    </row>
    <row r="655" spans="2:3" x14ac:dyDescent="0.25">
      <c r="B655" s="245">
        <v>46157</v>
      </c>
      <c r="C655" s="303">
        <f t="shared" si="9"/>
        <v>2.3083700000000009</v>
      </c>
    </row>
    <row r="656" spans="2:3" x14ac:dyDescent="0.25">
      <c r="B656" s="245">
        <v>46158</v>
      </c>
      <c r="C656" s="303">
        <f t="shared" si="9"/>
        <v>2.3083700000000009</v>
      </c>
    </row>
    <row r="657" spans="2:3" x14ac:dyDescent="0.25">
      <c r="B657" s="245">
        <v>46159</v>
      </c>
      <c r="C657" s="303">
        <f t="shared" si="9"/>
        <v>2.3083700000000009</v>
      </c>
    </row>
    <row r="658" spans="2:3" x14ac:dyDescent="0.25">
      <c r="B658" s="245">
        <v>46160</v>
      </c>
      <c r="C658" s="303">
        <f t="shared" si="9"/>
        <v>2.3083700000000009</v>
      </c>
    </row>
    <row r="659" spans="2:3" x14ac:dyDescent="0.25">
      <c r="B659" s="245">
        <v>46161</v>
      </c>
      <c r="C659" s="303">
        <f t="shared" si="9"/>
        <v>2.3083700000000009</v>
      </c>
    </row>
    <row r="660" spans="2:3" x14ac:dyDescent="0.25">
      <c r="B660" s="245">
        <v>46162</v>
      </c>
      <c r="C660" s="303">
        <f t="shared" si="9"/>
        <v>2.3083700000000009</v>
      </c>
    </row>
    <row r="661" spans="2:3" x14ac:dyDescent="0.25">
      <c r="B661" s="245">
        <v>46163</v>
      </c>
      <c r="C661" s="303">
        <f t="shared" si="9"/>
        <v>2.3083700000000009</v>
      </c>
    </row>
    <row r="662" spans="2:3" x14ac:dyDescent="0.25">
      <c r="B662" s="245">
        <v>46164</v>
      </c>
      <c r="C662" s="303">
        <f t="shared" si="9"/>
        <v>2.3083700000000009</v>
      </c>
    </row>
    <row r="663" spans="2:3" x14ac:dyDescent="0.25">
      <c r="B663" s="245">
        <v>46165</v>
      </c>
      <c r="C663" s="303">
        <f t="shared" si="9"/>
        <v>2.3083700000000009</v>
      </c>
    </row>
    <row r="664" spans="2:3" x14ac:dyDescent="0.25">
      <c r="B664" s="245">
        <v>46166</v>
      </c>
      <c r="C664" s="303">
        <f t="shared" si="9"/>
        <v>2.3083700000000009</v>
      </c>
    </row>
    <row r="665" spans="2:3" x14ac:dyDescent="0.25">
      <c r="B665" s="245">
        <v>46167</v>
      </c>
      <c r="C665" s="303">
        <f t="shared" si="9"/>
        <v>2.3083700000000009</v>
      </c>
    </row>
    <row r="666" spans="2:3" x14ac:dyDescent="0.25">
      <c r="B666" s="245">
        <v>46168</v>
      </c>
      <c r="C666" s="303">
        <f t="shared" si="9"/>
        <v>2.3083700000000009</v>
      </c>
    </row>
    <row r="667" spans="2:3" x14ac:dyDescent="0.25">
      <c r="B667" s="245">
        <v>46169</v>
      </c>
      <c r="C667" s="303">
        <f t="shared" si="9"/>
        <v>2.3083700000000009</v>
      </c>
    </row>
    <row r="668" spans="2:3" x14ac:dyDescent="0.25">
      <c r="B668" s="245">
        <v>46170</v>
      </c>
      <c r="C668" s="303">
        <f t="shared" si="9"/>
        <v>2.3083700000000009</v>
      </c>
    </row>
    <row r="669" spans="2:3" x14ac:dyDescent="0.25">
      <c r="B669" s="245">
        <v>46171</v>
      </c>
      <c r="C669" s="303">
        <f t="shared" si="9"/>
        <v>2.3083700000000009</v>
      </c>
    </row>
    <row r="670" spans="2:3" x14ac:dyDescent="0.25">
      <c r="B670" s="245">
        <v>46172</v>
      </c>
      <c r="C670" s="303">
        <f t="shared" si="9"/>
        <v>2.3083700000000009</v>
      </c>
    </row>
    <row r="671" spans="2:3" x14ac:dyDescent="0.25">
      <c r="B671" s="245">
        <v>46173</v>
      </c>
      <c r="C671" s="303">
        <f t="shared" si="9"/>
        <v>2.3083700000000009</v>
      </c>
    </row>
    <row r="672" spans="2:3" x14ac:dyDescent="0.25">
      <c r="B672" s="245">
        <v>46174</v>
      </c>
      <c r="C672" s="303">
        <f t="shared" si="9"/>
        <v>2.3083700000000009</v>
      </c>
    </row>
    <row r="673" spans="2:3" x14ac:dyDescent="0.25">
      <c r="B673" s="245">
        <v>46175</v>
      </c>
      <c r="C673" s="303">
        <f t="shared" si="9"/>
        <v>2.3083700000000009</v>
      </c>
    </row>
    <row r="674" spans="2:3" x14ac:dyDescent="0.25">
      <c r="B674" s="245">
        <v>46176</v>
      </c>
      <c r="C674" s="303">
        <f t="shared" si="9"/>
        <v>2.3083700000000009</v>
      </c>
    </row>
    <row r="675" spans="2:3" x14ac:dyDescent="0.25">
      <c r="B675" s="245">
        <v>46177</v>
      </c>
      <c r="C675" s="303">
        <f t="shared" si="9"/>
        <v>2.3083700000000009</v>
      </c>
    </row>
    <row r="676" spans="2:3" x14ac:dyDescent="0.25">
      <c r="B676" s="245">
        <v>46178</v>
      </c>
      <c r="C676" s="303">
        <f t="shared" si="9"/>
        <v>2.3083700000000009</v>
      </c>
    </row>
    <row r="677" spans="2:3" x14ac:dyDescent="0.25">
      <c r="B677" s="245">
        <v>46179</v>
      </c>
      <c r="C677" s="303">
        <f t="shared" si="9"/>
        <v>2.3083700000000009</v>
      </c>
    </row>
    <row r="678" spans="2:3" x14ac:dyDescent="0.25">
      <c r="B678" s="245">
        <v>46180</v>
      </c>
      <c r="C678" s="303">
        <f t="shared" si="9"/>
        <v>2.3083700000000009</v>
      </c>
    </row>
    <row r="679" spans="2:3" x14ac:dyDescent="0.25">
      <c r="B679" s="245">
        <v>46181</v>
      </c>
      <c r="C679" s="303">
        <f t="shared" si="9"/>
        <v>2.3083700000000009</v>
      </c>
    </row>
    <row r="680" spans="2:3" x14ac:dyDescent="0.25">
      <c r="B680" s="245">
        <v>46182</v>
      </c>
      <c r="C680" s="303">
        <f t="shared" si="9"/>
        <v>2.3083700000000009</v>
      </c>
    </row>
    <row r="681" spans="2:3" x14ac:dyDescent="0.25">
      <c r="B681" s="245">
        <v>46183</v>
      </c>
      <c r="C681" s="303">
        <f t="shared" si="9"/>
        <v>2.3083700000000009</v>
      </c>
    </row>
    <row r="682" spans="2:3" x14ac:dyDescent="0.25">
      <c r="B682" s="245">
        <v>46184</v>
      </c>
      <c r="C682" s="303">
        <f t="shared" si="9"/>
        <v>2.3083700000000009</v>
      </c>
    </row>
    <row r="683" spans="2:3" x14ac:dyDescent="0.25">
      <c r="B683" s="245">
        <v>46185</v>
      </c>
      <c r="C683" s="303">
        <f t="shared" si="9"/>
        <v>2.3083700000000009</v>
      </c>
    </row>
    <row r="684" spans="2:3" x14ac:dyDescent="0.25">
      <c r="B684" s="245">
        <v>46186</v>
      </c>
      <c r="C684" s="303">
        <f t="shared" si="9"/>
        <v>2.3083700000000009</v>
      </c>
    </row>
    <row r="685" spans="2:3" x14ac:dyDescent="0.25">
      <c r="B685" s="245">
        <v>46187</v>
      </c>
      <c r="C685" s="303">
        <f t="shared" si="9"/>
        <v>2.3083700000000009</v>
      </c>
    </row>
    <row r="686" spans="2:3" x14ac:dyDescent="0.25">
      <c r="B686" s="245">
        <v>46188</v>
      </c>
      <c r="C686" s="303">
        <f t="shared" si="9"/>
        <v>2.3083700000000009</v>
      </c>
    </row>
    <row r="687" spans="2:3" x14ac:dyDescent="0.25">
      <c r="B687" s="245">
        <v>46189</v>
      </c>
      <c r="C687" s="303">
        <f t="shared" si="9"/>
        <v>2.3083700000000009</v>
      </c>
    </row>
    <row r="688" spans="2:3" x14ac:dyDescent="0.25">
      <c r="B688" s="245">
        <v>46190</v>
      </c>
      <c r="C688" s="303">
        <f t="shared" ref="C688:C751" si="10">C687</f>
        <v>2.3083700000000009</v>
      </c>
    </row>
    <row r="689" spans="2:3" x14ac:dyDescent="0.25">
      <c r="B689" s="245">
        <v>46191</v>
      </c>
      <c r="C689" s="303">
        <f t="shared" si="10"/>
        <v>2.3083700000000009</v>
      </c>
    </row>
    <row r="690" spans="2:3" x14ac:dyDescent="0.25">
      <c r="B690" s="245">
        <v>46192</v>
      </c>
      <c r="C690" s="303">
        <f t="shared" si="10"/>
        <v>2.3083700000000009</v>
      </c>
    </row>
    <row r="691" spans="2:3" x14ac:dyDescent="0.25">
      <c r="B691" s="245">
        <v>46193</v>
      </c>
      <c r="C691" s="303">
        <f t="shared" si="10"/>
        <v>2.3083700000000009</v>
      </c>
    </row>
    <row r="692" spans="2:3" x14ac:dyDescent="0.25">
      <c r="B692" s="245">
        <v>46194</v>
      </c>
      <c r="C692" s="303">
        <f t="shared" si="10"/>
        <v>2.3083700000000009</v>
      </c>
    </row>
    <row r="693" spans="2:3" x14ac:dyDescent="0.25">
      <c r="B693" s="245">
        <v>46195</v>
      </c>
      <c r="C693" s="303">
        <f t="shared" si="10"/>
        <v>2.3083700000000009</v>
      </c>
    </row>
    <row r="694" spans="2:3" x14ac:dyDescent="0.25">
      <c r="B694" s="245">
        <v>46196</v>
      </c>
      <c r="C694" s="303">
        <f t="shared" si="10"/>
        <v>2.3083700000000009</v>
      </c>
    </row>
    <row r="695" spans="2:3" x14ac:dyDescent="0.25">
      <c r="B695" s="245">
        <v>46197</v>
      </c>
      <c r="C695" s="303">
        <f t="shared" si="10"/>
        <v>2.3083700000000009</v>
      </c>
    </row>
    <row r="696" spans="2:3" x14ac:dyDescent="0.25">
      <c r="B696" s="245">
        <v>46198</v>
      </c>
      <c r="C696" s="303">
        <f t="shared" si="10"/>
        <v>2.3083700000000009</v>
      </c>
    </row>
    <row r="697" spans="2:3" x14ac:dyDescent="0.25">
      <c r="B697" s="245">
        <v>46199</v>
      </c>
      <c r="C697" s="303">
        <f t="shared" si="10"/>
        <v>2.3083700000000009</v>
      </c>
    </row>
    <row r="698" spans="2:3" x14ac:dyDescent="0.25">
      <c r="B698" s="245">
        <v>46200</v>
      </c>
      <c r="C698" s="303">
        <f t="shared" si="10"/>
        <v>2.3083700000000009</v>
      </c>
    </row>
    <row r="699" spans="2:3" x14ac:dyDescent="0.25">
      <c r="B699" s="245">
        <v>46201</v>
      </c>
      <c r="C699" s="303">
        <f t="shared" si="10"/>
        <v>2.3083700000000009</v>
      </c>
    </row>
    <row r="700" spans="2:3" x14ac:dyDescent="0.25">
      <c r="B700" s="245">
        <v>46202</v>
      </c>
      <c r="C700" s="303">
        <f t="shared" si="10"/>
        <v>2.3083700000000009</v>
      </c>
    </row>
    <row r="701" spans="2:3" x14ac:dyDescent="0.25">
      <c r="B701" s="245">
        <v>46203</v>
      </c>
      <c r="C701" s="303">
        <f t="shared" si="10"/>
        <v>2.3083700000000009</v>
      </c>
    </row>
    <row r="702" spans="2:3" x14ac:dyDescent="0.25">
      <c r="B702" s="245">
        <v>46204</v>
      </c>
      <c r="C702" s="303">
        <f t="shared" si="10"/>
        <v>2.3083700000000009</v>
      </c>
    </row>
    <row r="703" spans="2:3" x14ac:dyDescent="0.25">
      <c r="B703" s="245">
        <v>46205</v>
      </c>
      <c r="C703" s="303">
        <f t="shared" si="10"/>
        <v>2.3083700000000009</v>
      </c>
    </row>
    <row r="704" spans="2:3" x14ac:dyDescent="0.25">
      <c r="B704" s="245">
        <v>46206</v>
      </c>
      <c r="C704" s="303">
        <f t="shared" si="10"/>
        <v>2.3083700000000009</v>
      </c>
    </row>
    <row r="705" spans="2:3" x14ac:dyDescent="0.25">
      <c r="B705" s="245">
        <v>46207</v>
      </c>
      <c r="C705" s="303">
        <f t="shared" si="10"/>
        <v>2.3083700000000009</v>
      </c>
    </row>
    <row r="706" spans="2:3" x14ac:dyDescent="0.25">
      <c r="B706" s="245">
        <v>46208</v>
      </c>
      <c r="C706" s="303">
        <f t="shared" si="10"/>
        <v>2.3083700000000009</v>
      </c>
    </row>
    <row r="707" spans="2:3" x14ac:dyDescent="0.25">
      <c r="B707" s="245">
        <v>46209</v>
      </c>
      <c r="C707" s="303">
        <f t="shared" si="10"/>
        <v>2.3083700000000009</v>
      </c>
    </row>
    <row r="708" spans="2:3" x14ac:dyDescent="0.25">
      <c r="B708" s="245">
        <v>46210</v>
      </c>
      <c r="C708" s="303">
        <f t="shared" si="10"/>
        <v>2.3083700000000009</v>
      </c>
    </row>
    <row r="709" spans="2:3" x14ac:dyDescent="0.25">
      <c r="B709" s="245">
        <v>46211</v>
      </c>
      <c r="C709" s="303">
        <f t="shared" si="10"/>
        <v>2.3083700000000009</v>
      </c>
    </row>
    <row r="710" spans="2:3" x14ac:dyDescent="0.25">
      <c r="B710" s="245">
        <v>46212</v>
      </c>
      <c r="C710" s="303">
        <f t="shared" si="10"/>
        <v>2.3083700000000009</v>
      </c>
    </row>
    <row r="711" spans="2:3" x14ac:dyDescent="0.25">
      <c r="B711" s="245">
        <v>46213</v>
      </c>
      <c r="C711" s="303">
        <f t="shared" si="10"/>
        <v>2.3083700000000009</v>
      </c>
    </row>
    <row r="712" spans="2:3" x14ac:dyDescent="0.25">
      <c r="B712" s="245">
        <v>46214</v>
      </c>
      <c r="C712" s="303">
        <f t="shared" si="10"/>
        <v>2.3083700000000009</v>
      </c>
    </row>
    <row r="713" spans="2:3" x14ac:dyDescent="0.25">
      <c r="B713" s="245">
        <v>46215</v>
      </c>
      <c r="C713" s="303">
        <f t="shared" si="10"/>
        <v>2.3083700000000009</v>
      </c>
    </row>
    <row r="714" spans="2:3" x14ac:dyDescent="0.25">
      <c r="B714" s="245">
        <v>46216</v>
      </c>
      <c r="C714" s="303">
        <f t="shared" si="10"/>
        <v>2.3083700000000009</v>
      </c>
    </row>
    <row r="715" spans="2:3" x14ac:dyDescent="0.25">
      <c r="B715" s="245">
        <v>46217</v>
      </c>
      <c r="C715" s="303">
        <f t="shared" si="10"/>
        <v>2.3083700000000009</v>
      </c>
    </row>
    <row r="716" spans="2:3" x14ac:dyDescent="0.25">
      <c r="B716" s="245">
        <v>46218</v>
      </c>
      <c r="C716" s="303">
        <f t="shared" si="10"/>
        <v>2.3083700000000009</v>
      </c>
    </row>
    <row r="717" spans="2:3" x14ac:dyDescent="0.25">
      <c r="B717" s="245">
        <v>46219</v>
      </c>
      <c r="C717" s="303">
        <f t="shared" si="10"/>
        <v>2.3083700000000009</v>
      </c>
    </row>
    <row r="718" spans="2:3" x14ac:dyDescent="0.25">
      <c r="B718" s="245">
        <v>46220</v>
      </c>
      <c r="C718" s="303">
        <f t="shared" si="10"/>
        <v>2.3083700000000009</v>
      </c>
    </row>
    <row r="719" spans="2:3" x14ac:dyDescent="0.25">
      <c r="B719" s="245">
        <v>46221</v>
      </c>
      <c r="C719" s="303">
        <f t="shared" si="10"/>
        <v>2.3083700000000009</v>
      </c>
    </row>
    <row r="720" spans="2:3" x14ac:dyDescent="0.25">
      <c r="B720" s="245">
        <v>46222</v>
      </c>
      <c r="C720" s="303">
        <f t="shared" si="10"/>
        <v>2.3083700000000009</v>
      </c>
    </row>
    <row r="721" spans="2:3" x14ac:dyDescent="0.25">
      <c r="B721" s="245">
        <v>46223</v>
      </c>
      <c r="C721" s="303">
        <f t="shared" si="10"/>
        <v>2.3083700000000009</v>
      </c>
    </row>
    <row r="722" spans="2:3" x14ac:dyDescent="0.25">
      <c r="B722" s="245">
        <v>46224</v>
      </c>
      <c r="C722" s="303">
        <f t="shared" si="10"/>
        <v>2.3083700000000009</v>
      </c>
    </row>
    <row r="723" spans="2:3" x14ac:dyDescent="0.25">
      <c r="B723" s="245">
        <v>46225</v>
      </c>
      <c r="C723" s="303">
        <f t="shared" si="10"/>
        <v>2.3083700000000009</v>
      </c>
    </row>
    <row r="724" spans="2:3" x14ac:dyDescent="0.25">
      <c r="B724" s="245">
        <v>46226</v>
      </c>
      <c r="C724" s="303">
        <f t="shared" si="10"/>
        <v>2.3083700000000009</v>
      </c>
    </row>
    <row r="725" spans="2:3" x14ac:dyDescent="0.25">
      <c r="B725" s="245">
        <v>46227</v>
      </c>
      <c r="C725" s="303">
        <f t="shared" si="10"/>
        <v>2.3083700000000009</v>
      </c>
    </row>
    <row r="726" spans="2:3" x14ac:dyDescent="0.25">
      <c r="B726" s="245">
        <v>46228</v>
      </c>
      <c r="C726" s="303">
        <f t="shared" si="10"/>
        <v>2.3083700000000009</v>
      </c>
    </row>
    <row r="727" spans="2:3" x14ac:dyDescent="0.25">
      <c r="B727" s="245">
        <v>46229</v>
      </c>
      <c r="C727" s="303">
        <f t="shared" si="10"/>
        <v>2.3083700000000009</v>
      </c>
    </row>
    <row r="728" spans="2:3" x14ac:dyDescent="0.25">
      <c r="B728" s="245">
        <v>46230</v>
      </c>
      <c r="C728" s="303">
        <f t="shared" si="10"/>
        <v>2.3083700000000009</v>
      </c>
    </row>
    <row r="729" spans="2:3" x14ac:dyDescent="0.25">
      <c r="B729" s="245">
        <v>46231</v>
      </c>
      <c r="C729" s="303">
        <f t="shared" si="10"/>
        <v>2.3083700000000009</v>
      </c>
    </row>
    <row r="730" spans="2:3" x14ac:dyDescent="0.25">
      <c r="B730" s="245">
        <v>46232</v>
      </c>
      <c r="C730" s="303">
        <f t="shared" si="10"/>
        <v>2.3083700000000009</v>
      </c>
    </row>
    <row r="731" spans="2:3" x14ac:dyDescent="0.25">
      <c r="B731" s="245">
        <v>46233</v>
      </c>
      <c r="C731" s="303">
        <f t="shared" si="10"/>
        <v>2.3083700000000009</v>
      </c>
    </row>
    <row r="732" spans="2:3" x14ac:dyDescent="0.25">
      <c r="B732" s="245">
        <v>46234</v>
      </c>
      <c r="C732" s="303">
        <f t="shared" si="10"/>
        <v>2.3083700000000009</v>
      </c>
    </row>
    <row r="733" spans="2:3" x14ac:dyDescent="0.25">
      <c r="B733" s="245">
        <v>46235</v>
      </c>
      <c r="C733" s="303">
        <f t="shared" si="10"/>
        <v>2.3083700000000009</v>
      </c>
    </row>
    <row r="734" spans="2:3" x14ac:dyDescent="0.25">
      <c r="B734" s="245">
        <v>46236</v>
      </c>
      <c r="C734" s="303">
        <f t="shared" si="10"/>
        <v>2.3083700000000009</v>
      </c>
    </row>
    <row r="735" spans="2:3" x14ac:dyDescent="0.25">
      <c r="B735" s="245">
        <v>46237</v>
      </c>
      <c r="C735" s="303">
        <f t="shared" si="10"/>
        <v>2.3083700000000009</v>
      </c>
    </row>
    <row r="736" spans="2:3" x14ac:dyDescent="0.25">
      <c r="B736" s="245">
        <v>46238</v>
      </c>
      <c r="C736" s="303">
        <f t="shared" si="10"/>
        <v>2.3083700000000009</v>
      </c>
    </row>
    <row r="737" spans="2:3" x14ac:dyDescent="0.25">
      <c r="B737" s="245">
        <v>46239</v>
      </c>
      <c r="C737" s="303">
        <f t="shared" si="10"/>
        <v>2.3083700000000009</v>
      </c>
    </row>
    <row r="738" spans="2:3" x14ac:dyDescent="0.25">
      <c r="B738" s="245">
        <v>46240</v>
      </c>
      <c r="C738" s="303">
        <f t="shared" si="10"/>
        <v>2.3083700000000009</v>
      </c>
    </row>
    <row r="739" spans="2:3" x14ac:dyDescent="0.25">
      <c r="B739" s="245">
        <v>46241</v>
      </c>
      <c r="C739" s="303">
        <f t="shared" si="10"/>
        <v>2.3083700000000009</v>
      </c>
    </row>
    <row r="740" spans="2:3" x14ac:dyDescent="0.25">
      <c r="B740" s="245">
        <v>46242</v>
      </c>
      <c r="C740" s="303">
        <f t="shared" si="10"/>
        <v>2.3083700000000009</v>
      </c>
    </row>
    <row r="741" spans="2:3" x14ac:dyDescent="0.25">
      <c r="B741" s="245">
        <v>46243</v>
      </c>
      <c r="C741" s="303">
        <f t="shared" si="10"/>
        <v>2.3083700000000009</v>
      </c>
    </row>
    <row r="742" spans="2:3" x14ac:dyDescent="0.25">
      <c r="B742" s="245">
        <v>46244</v>
      </c>
      <c r="C742" s="303">
        <f t="shared" si="10"/>
        <v>2.3083700000000009</v>
      </c>
    </row>
    <row r="743" spans="2:3" x14ac:dyDescent="0.25">
      <c r="B743" s="245">
        <v>46245</v>
      </c>
      <c r="C743" s="303">
        <f t="shared" si="10"/>
        <v>2.3083700000000009</v>
      </c>
    </row>
    <row r="744" spans="2:3" x14ac:dyDescent="0.25">
      <c r="B744" s="245">
        <v>46246</v>
      </c>
      <c r="C744" s="303">
        <f t="shared" si="10"/>
        <v>2.3083700000000009</v>
      </c>
    </row>
    <row r="745" spans="2:3" x14ac:dyDescent="0.25">
      <c r="B745" s="245">
        <v>46247</v>
      </c>
      <c r="C745" s="303">
        <f t="shared" si="10"/>
        <v>2.3083700000000009</v>
      </c>
    </row>
    <row r="746" spans="2:3" x14ac:dyDescent="0.25">
      <c r="B746" s="245">
        <v>46248</v>
      </c>
      <c r="C746" s="303">
        <f t="shared" si="10"/>
        <v>2.3083700000000009</v>
      </c>
    </row>
    <row r="747" spans="2:3" x14ac:dyDescent="0.25">
      <c r="B747" s="245">
        <v>46249</v>
      </c>
      <c r="C747" s="303">
        <f t="shared" si="10"/>
        <v>2.3083700000000009</v>
      </c>
    </row>
    <row r="748" spans="2:3" x14ac:dyDescent="0.25">
      <c r="B748" s="245">
        <v>46250</v>
      </c>
      <c r="C748" s="303">
        <f t="shared" si="10"/>
        <v>2.3083700000000009</v>
      </c>
    </row>
    <row r="749" spans="2:3" x14ac:dyDescent="0.25">
      <c r="B749" s="245">
        <v>46251</v>
      </c>
      <c r="C749" s="303">
        <f t="shared" si="10"/>
        <v>2.3083700000000009</v>
      </c>
    </row>
    <row r="750" spans="2:3" x14ac:dyDescent="0.25">
      <c r="B750" s="245">
        <v>46252</v>
      </c>
      <c r="C750" s="303">
        <f t="shared" si="10"/>
        <v>2.3083700000000009</v>
      </c>
    </row>
    <row r="751" spans="2:3" x14ac:dyDescent="0.25">
      <c r="B751" s="245">
        <v>46253</v>
      </c>
      <c r="C751" s="303">
        <f t="shared" si="10"/>
        <v>2.3083700000000009</v>
      </c>
    </row>
    <row r="752" spans="2:3" x14ac:dyDescent="0.25">
      <c r="B752" s="245">
        <v>46254</v>
      </c>
      <c r="C752" s="303">
        <f t="shared" ref="C752:C815" si="11">C751</f>
        <v>2.3083700000000009</v>
      </c>
    </row>
    <row r="753" spans="2:3" x14ac:dyDescent="0.25">
      <c r="B753" s="245">
        <v>46255</v>
      </c>
      <c r="C753" s="303">
        <f t="shared" si="11"/>
        <v>2.3083700000000009</v>
      </c>
    </row>
    <row r="754" spans="2:3" x14ac:dyDescent="0.25">
      <c r="B754" s="245">
        <v>46256</v>
      </c>
      <c r="C754" s="303">
        <f t="shared" si="11"/>
        <v>2.3083700000000009</v>
      </c>
    </row>
    <row r="755" spans="2:3" x14ac:dyDescent="0.25">
      <c r="B755" s="245">
        <v>46257</v>
      </c>
      <c r="C755" s="303">
        <f t="shared" si="11"/>
        <v>2.3083700000000009</v>
      </c>
    </row>
    <row r="756" spans="2:3" x14ac:dyDescent="0.25">
      <c r="B756" s="245">
        <v>46258</v>
      </c>
      <c r="C756" s="303">
        <f t="shared" si="11"/>
        <v>2.3083700000000009</v>
      </c>
    </row>
    <row r="757" spans="2:3" x14ac:dyDescent="0.25">
      <c r="B757" s="245">
        <v>46259</v>
      </c>
      <c r="C757" s="303">
        <f t="shared" si="11"/>
        <v>2.3083700000000009</v>
      </c>
    </row>
    <row r="758" spans="2:3" x14ac:dyDescent="0.25">
      <c r="B758" s="245">
        <v>46260</v>
      </c>
      <c r="C758" s="303">
        <f t="shared" si="11"/>
        <v>2.3083700000000009</v>
      </c>
    </row>
    <row r="759" spans="2:3" x14ac:dyDescent="0.25">
      <c r="B759" s="245">
        <v>46261</v>
      </c>
      <c r="C759" s="303">
        <f t="shared" si="11"/>
        <v>2.3083700000000009</v>
      </c>
    </row>
    <row r="760" spans="2:3" x14ac:dyDescent="0.25">
      <c r="B760" s="245">
        <v>46262</v>
      </c>
      <c r="C760" s="303">
        <f t="shared" si="11"/>
        <v>2.3083700000000009</v>
      </c>
    </row>
    <row r="761" spans="2:3" x14ac:dyDescent="0.25">
      <c r="B761" s="245">
        <v>46263</v>
      </c>
      <c r="C761" s="303">
        <f t="shared" si="11"/>
        <v>2.3083700000000009</v>
      </c>
    </row>
    <row r="762" spans="2:3" x14ac:dyDescent="0.25">
      <c r="B762" s="245">
        <v>46264</v>
      </c>
      <c r="C762" s="303">
        <f t="shared" si="11"/>
        <v>2.3083700000000009</v>
      </c>
    </row>
    <row r="763" spans="2:3" x14ac:dyDescent="0.25">
      <c r="B763" s="245">
        <v>46265</v>
      </c>
      <c r="C763" s="303">
        <f t="shared" si="11"/>
        <v>2.3083700000000009</v>
      </c>
    </row>
    <row r="764" spans="2:3" x14ac:dyDescent="0.25">
      <c r="B764" s="245">
        <v>46266</v>
      </c>
      <c r="C764" s="303">
        <f t="shared" si="11"/>
        <v>2.3083700000000009</v>
      </c>
    </row>
    <row r="765" spans="2:3" x14ac:dyDescent="0.25">
      <c r="B765" s="245">
        <v>46267</v>
      </c>
      <c r="C765" s="303">
        <f t="shared" si="11"/>
        <v>2.3083700000000009</v>
      </c>
    </row>
    <row r="766" spans="2:3" x14ac:dyDescent="0.25">
      <c r="B766" s="245">
        <v>46268</v>
      </c>
      <c r="C766" s="303">
        <f t="shared" si="11"/>
        <v>2.3083700000000009</v>
      </c>
    </row>
    <row r="767" spans="2:3" x14ac:dyDescent="0.25">
      <c r="B767" s="245">
        <v>46269</v>
      </c>
      <c r="C767" s="303">
        <f t="shared" si="11"/>
        <v>2.3083700000000009</v>
      </c>
    </row>
    <row r="768" spans="2:3" x14ac:dyDescent="0.25">
      <c r="B768" s="245">
        <v>46270</v>
      </c>
      <c r="C768" s="303">
        <f t="shared" si="11"/>
        <v>2.3083700000000009</v>
      </c>
    </row>
    <row r="769" spans="2:3" x14ac:dyDescent="0.25">
      <c r="B769" s="245">
        <v>46271</v>
      </c>
      <c r="C769" s="303">
        <f t="shared" si="11"/>
        <v>2.3083700000000009</v>
      </c>
    </row>
    <row r="770" spans="2:3" x14ac:dyDescent="0.25">
      <c r="B770" s="245">
        <v>46272</v>
      </c>
      <c r="C770" s="303">
        <f t="shared" si="11"/>
        <v>2.3083700000000009</v>
      </c>
    </row>
    <row r="771" spans="2:3" x14ac:dyDescent="0.25">
      <c r="B771" s="245">
        <v>46273</v>
      </c>
      <c r="C771" s="303">
        <f t="shared" si="11"/>
        <v>2.3083700000000009</v>
      </c>
    </row>
    <row r="772" spans="2:3" x14ac:dyDescent="0.25">
      <c r="B772" s="245">
        <v>46274</v>
      </c>
      <c r="C772" s="303">
        <f t="shared" si="11"/>
        <v>2.3083700000000009</v>
      </c>
    </row>
    <row r="773" spans="2:3" x14ac:dyDescent="0.25">
      <c r="B773" s="245">
        <v>46275</v>
      </c>
      <c r="C773" s="303">
        <f t="shared" si="11"/>
        <v>2.3083700000000009</v>
      </c>
    </row>
    <row r="774" spans="2:3" x14ac:dyDescent="0.25">
      <c r="B774" s="245">
        <v>46276</v>
      </c>
      <c r="C774" s="303">
        <f t="shared" si="11"/>
        <v>2.3083700000000009</v>
      </c>
    </row>
    <row r="775" spans="2:3" x14ac:dyDescent="0.25">
      <c r="B775" s="245">
        <v>46277</v>
      </c>
      <c r="C775" s="303">
        <f t="shared" si="11"/>
        <v>2.3083700000000009</v>
      </c>
    </row>
    <row r="776" spans="2:3" x14ac:dyDescent="0.25">
      <c r="B776" s="245">
        <v>46278</v>
      </c>
      <c r="C776" s="303">
        <f t="shared" si="11"/>
        <v>2.3083700000000009</v>
      </c>
    </row>
    <row r="777" spans="2:3" x14ac:dyDescent="0.25">
      <c r="B777" s="245">
        <v>46279</v>
      </c>
      <c r="C777" s="303">
        <f t="shared" si="11"/>
        <v>2.3083700000000009</v>
      </c>
    </row>
    <row r="778" spans="2:3" x14ac:dyDescent="0.25">
      <c r="B778" s="245">
        <v>46280</v>
      </c>
      <c r="C778" s="303">
        <f t="shared" si="11"/>
        <v>2.3083700000000009</v>
      </c>
    </row>
    <row r="779" spans="2:3" x14ac:dyDescent="0.25">
      <c r="B779" s="245">
        <v>46281</v>
      </c>
      <c r="C779" s="303">
        <f t="shared" si="11"/>
        <v>2.3083700000000009</v>
      </c>
    </row>
    <row r="780" spans="2:3" x14ac:dyDescent="0.25">
      <c r="B780" s="245">
        <v>46282</v>
      </c>
      <c r="C780" s="303">
        <f t="shared" si="11"/>
        <v>2.3083700000000009</v>
      </c>
    </row>
    <row r="781" spans="2:3" x14ac:dyDescent="0.25">
      <c r="B781" s="245">
        <v>46283</v>
      </c>
      <c r="C781" s="303">
        <f t="shared" si="11"/>
        <v>2.3083700000000009</v>
      </c>
    </row>
    <row r="782" spans="2:3" x14ac:dyDescent="0.25">
      <c r="B782" s="245">
        <v>46284</v>
      </c>
      <c r="C782" s="303">
        <f t="shared" si="11"/>
        <v>2.3083700000000009</v>
      </c>
    </row>
    <row r="783" spans="2:3" x14ac:dyDescent="0.25">
      <c r="B783" s="245">
        <v>46285</v>
      </c>
      <c r="C783" s="303">
        <f t="shared" si="11"/>
        <v>2.3083700000000009</v>
      </c>
    </row>
    <row r="784" spans="2:3" x14ac:dyDescent="0.25">
      <c r="B784" s="245">
        <v>46286</v>
      </c>
      <c r="C784" s="303">
        <f t="shared" si="11"/>
        <v>2.3083700000000009</v>
      </c>
    </row>
    <row r="785" spans="2:3" x14ac:dyDescent="0.25">
      <c r="B785" s="245">
        <v>46287</v>
      </c>
      <c r="C785" s="303">
        <f t="shared" si="11"/>
        <v>2.3083700000000009</v>
      </c>
    </row>
    <row r="786" spans="2:3" x14ac:dyDescent="0.25">
      <c r="B786" s="245">
        <v>46288</v>
      </c>
      <c r="C786" s="303">
        <f t="shared" si="11"/>
        <v>2.3083700000000009</v>
      </c>
    </row>
    <row r="787" spans="2:3" x14ac:dyDescent="0.25">
      <c r="B787" s="245">
        <v>46289</v>
      </c>
      <c r="C787" s="303">
        <f t="shared" si="11"/>
        <v>2.3083700000000009</v>
      </c>
    </row>
    <row r="788" spans="2:3" x14ac:dyDescent="0.25">
      <c r="B788" s="245">
        <v>46290</v>
      </c>
      <c r="C788" s="303">
        <f t="shared" si="11"/>
        <v>2.3083700000000009</v>
      </c>
    </row>
    <row r="789" spans="2:3" x14ac:dyDescent="0.25">
      <c r="B789" s="245">
        <v>46291</v>
      </c>
      <c r="C789" s="303">
        <f t="shared" si="11"/>
        <v>2.3083700000000009</v>
      </c>
    </row>
    <row r="790" spans="2:3" x14ac:dyDescent="0.25">
      <c r="B790" s="245">
        <v>46292</v>
      </c>
      <c r="C790" s="303">
        <f t="shared" si="11"/>
        <v>2.3083700000000009</v>
      </c>
    </row>
    <row r="791" spans="2:3" x14ac:dyDescent="0.25">
      <c r="B791" s="245">
        <v>46293</v>
      </c>
      <c r="C791" s="303">
        <f t="shared" si="11"/>
        <v>2.3083700000000009</v>
      </c>
    </row>
    <row r="792" spans="2:3" x14ac:dyDescent="0.25">
      <c r="B792" s="245">
        <v>46294</v>
      </c>
      <c r="C792" s="303">
        <f t="shared" si="11"/>
        <v>2.3083700000000009</v>
      </c>
    </row>
    <row r="793" spans="2:3" x14ac:dyDescent="0.25">
      <c r="B793" s="245">
        <v>46295</v>
      </c>
      <c r="C793" s="303">
        <f t="shared" si="11"/>
        <v>2.3083700000000009</v>
      </c>
    </row>
    <row r="794" spans="2:3" x14ac:dyDescent="0.25">
      <c r="B794" s="245">
        <v>46296</v>
      </c>
      <c r="C794" s="303">
        <f t="shared" si="11"/>
        <v>2.3083700000000009</v>
      </c>
    </row>
    <row r="795" spans="2:3" x14ac:dyDescent="0.25">
      <c r="B795" s="245">
        <v>46297</v>
      </c>
      <c r="C795" s="303">
        <f t="shared" si="11"/>
        <v>2.3083700000000009</v>
      </c>
    </row>
    <row r="796" spans="2:3" x14ac:dyDescent="0.25">
      <c r="B796" s="245">
        <v>46298</v>
      </c>
      <c r="C796" s="303">
        <f t="shared" si="11"/>
        <v>2.3083700000000009</v>
      </c>
    </row>
    <row r="797" spans="2:3" x14ac:dyDescent="0.25">
      <c r="B797" s="245">
        <v>46299</v>
      </c>
      <c r="C797" s="303">
        <f t="shared" si="11"/>
        <v>2.3083700000000009</v>
      </c>
    </row>
    <row r="798" spans="2:3" x14ac:dyDescent="0.25">
      <c r="B798" s="245">
        <v>46300</v>
      </c>
      <c r="C798" s="303">
        <f t="shared" si="11"/>
        <v>2.3083700000000009</v>
      </c>
    </row>
    <row r="799" spans="2:3" x14ac:dyDescent="0.25">
      <c r="B799" s="245">
        <v>46301</v>
      </c>
      <c r="C799" s="303">
        <f t="shared" si="11"/>
        <v>2.3083700000000009</v>
      </c>
    </row>
    <row r="800" spans="2:3" x14ac:dyDescent="0.25">
      <c r="B800" s="245">
        <v>46302</v>
      </c>
      <c r="C800" s="303">
        <f t="shared" si="11"/>
        <v>2.3083700000000009</v>
      </c>
    </row>
    <row r="801" spans="2:3" x14ac:dyDescent="0.25">
      <c r="B801" s="245">
        <v>46303</v>
      </c>
      <c r="C801" s="303">
        <f t="shared" si="11"/>
        <v>2.3083700000000009</v>
      </c>
    </row>
    <row r="802" spans="2:3" x14ac:dyDescent="0.25">
      <c r="B802" s="245">
        <v>46304</v>
      </c>
      <c r="C802" s="303">
        <f t="shared" si="11"/>
        <v>2.3083700000000009</v>
      </c>
    </row>
    <row r="803" spans="2:3" x14ac:dyDescent="0.25">
      <c r="B803" s="245">
        <v>46305</v>
      </c>
      <c r="C803" s="303">
        <f t="shared" si="11"/>
        <v>2.3083700000000009</v>
      </c>
    </row>
    <row r="804" spans="2:3" x14ac:dyDescent="0.25">
      <c r="B804" s="245">
        <v>46306</v>
      </c>
      <c r="C804" s="303">
        <f t="shared" si="11"/>
        <v>2.3083700000000009</v>
      </c>
    </row>
    <row r="805" spans="2:3" x14ac:dyDescent="0.25">
      <c r="B805" s="245">
        <v>46307</v>
      </c>
      <c r="C805" s="303">
        <f t="shared" si="11"/>
        <v>2.3083700000000009</v>
      </c>
    </row>
    <row r="806" spans="2:3" x14ac:dyDescent="0.25">
      <c r="B806" s="245">
        <v>46308</v>
      </c>
      <c r="C806" s="303">
        <f t="shared" si="11"/>
        <v>2.3083700000000009</v>
      </c>
    </row>
    <row r="807" spans="2:3" x14ac:dyDescent="0.25">
      <c r="B807" s="245">
        <v>46309</v>
      </c>
      <c r="C807" s="303">
        <f t="shared" si="11"/>
        <v>2.3083700000000009</v>
      </c>
    </row>
    <row r="808" spans="2:3" x14ac:dyDescent="0.25">
      <c r="B808" s="245">
        <v>46310</v>
      </c>
      <c r="C808" s="303">
        <f t="shared" si="11"/>
        <v>2.3083700000000009</v>
      </c>
    </row>
    <row r="809" spans="2:3" x14ac:dyDescent="0.25">
      <c r="B809" s="245">
        <v>46311</v>
      </c>
      <c r="C809" s="303">
        <f t="shared" si="11"/>
        <v>2.3083700000000009</v>
      </c>
    </row>
    <row r="810" spans="2:3" x14ac:dyDescent="0.25">
      <c r="B810" s="245">
        <v>46312</v>
      </c>
      <c r="C810" s="303">
        <f t="shared" si="11"/>
        <v>2.3083700000000009</v>
      </c>
    </row>
    <row r="811" spans="2:3" x14ac:dyDescent="0.25">
      <c r="B811" s="245">
        <v>46313</v>
      </c>
      <c r="C811" s="303">
        <f t="shared" si="11"/>
        <v>2.3083700000000009</v>
      </c>
    </row>
    <row r="812" spans="2:3" x14ac:dyDescent="0.25">
      <c r="B812" s="245">
        <v>46314</v>
      </c>
      <c r="C812" s="303">
        <f t="shared" si="11"/>
        <v>2.3083700000000009</v>
      </c>
    </row>
    <row r="813" spans="2:3" x14ac:dyDescent="0.25">
      <c r="B813" s="245">
        <v>46315</v>
      </c>
      <c r="C813" s="303">
        <f t="shared" si="11"/>
        <v>2.3083700000000009</v>
      </c>
    </row>
    <row r="814" spans="2:3" x14ac:dyDescent="0.25">
      <c r="B814" s="245">
        <v>46316</v>
      </c>
      <c r="C814" s="303">
        <f t="shared" si="11"/>
        <v>2.3083700000000009</v>
      </c>
    </row>
    <row r="815" spans="2:3" x14ac:dyDescent="0.25">
      <c r="B815" s="245">
        <v>46317</v>
      </c>
      <c r="C815" s="303">
        <f t="shared" si="11"/>
        <v>2.3083700000000009</v>
      </c>
    </row>
    <row r="816" spans="2:3" x14ac:dyDescent="0.25">
      <c r="B816" s="245">
        <v>46318</v>
      </c>
      <c r="C816" s="303">
        <f t="shared" ref="C816:C879" si="12">C815</f>
        <v>2.3083700000000009</v>
      </c>
    </row>
    <row r="817" spans="2:3" x14ac:dyDescent="0.25">
      <c r="B817" s="245">
        <v>46319</v>
      </c>
      <c r="C817" s="303">
        <f t="shared" si="12"/>
        <v>2.3083700000000009</v>
      </c>
    </row>
    <row r="818" spans="2:3" x14ac:dyDescent="0.25">
      <c r="B818" s="245">
        <v>46320</v>
      </c>
      <c r="C818" s="303">
        <f t="shared" si="12"/>
        <v>2.3083700000000009</v>
      </c>
    </row>
    <row r="819" spans="2:3" x14ac:dyDescent="0.25">
      <c r="B819" s="245">
        <v>46321</v>
      </c>
      <c r="C819" s="303">
        <f t="shared" si="12"/>
        <v>2.3083700000000009</v>
      </c>
    </row>
    <row r="820" spans="2:3" x14ac:dyDescent="0.25">
      <c r="B820" s="245">
        <v>46322</v>
      </c>
      <c r="C820" s="303">
        <f t="shared" si="12"/>
        <v>2.3083700000000009</v>
      </c>
    </row>
    <row r="821" spans="2:3" x14ac:dyDescent="0.25">
      <c r="B821" s="245">
        <v>46323</v>
      </c>
      <c r="C821" s="303">
        <f t="shared" si="12"/>
        <v>2.3083700000000009</v>
      </c>
    </row>
    <row r="822" spans="2:3" x14ac:dyDescent="0.25">
      <c r="B822" s="245">
        <v>46324</v>
      </c>
      <c r="C822" s="303">
        <f t="shared" si="12"/>
        <v>2.3083700000000009</v>
      </c>
    </row>
    <row r="823" spans="2:3" x14ac:dyDescent="0.25">
      <c r="B823" s="245">
        <v>46325</v>
      </c>
      <c r="C823" s="303">
        <f t="shared" si="12"/>
        <v>2.3083700000000009</v>
      </c>
    </row>
    <row r="824" spans="2:3" x14ac:dyDescent="0.25">
      <c r="B824" s="245">
        <v>46326</v>
      </c>
      <c r="C824" s="303">
        <f t="shared" si="12"/>
        <v>2.3083700000000009</v>
      </c>
    </row>
    <row r="825" spans="2:3" x14ac:dyDescent="0.25">
      <c r="B825" s="245">
        <v>46327</v>
      </c>
      <c r="C825" s="303">
        <f t="shared" si="12"/>
        <v>2.3083700000000009</v>
      </c>
    </row>
    <row r="826" spans="2:3" x14ac:dyDescent="0.25">
      <c r="B826" s="245">
        <v>46328</v>
      </c>
      <c r="C826" s="303">
        <f t="shared" si="12"/>
        <v>2.3083700000000009</v>
      </c>
    </row>
    <row r="827" spans="2:3" x14ac:dyDescent="0.25">
      <c r="B827" s="245">
        <v>46329</v>
      </c>
      <c r="C827" s="303">
        <f t="shared" si="12"/>
        <v>2.3083700000000009</v>
      </c>
    </row>
    <row r="828" spans="2:3" x14ac:dyDescent="0.25">
      <c r="B828" s="245">
        <v>46330</v>
      </c>
      <c r="C828" s="303">
        <f t="shared" si="12"/>
        <v>2.3083700000000009</v>
      </c>
    </row>
    <row r="829" spans="2:3" x14ac:dyDescent="0.25">
      <c r="B829" s="245">
        <v>46331</v>
      </c>
      <c r="C829" s="303">
        <f t="shared" si="12"/>
        <v>2.3083700000000009</v>
      </c>
    </row>
    <row r="830" spans="2:3" x14ac:dyDescent="0.25">
      <c r="B830" s="245">
        <v>46332</v>
      </c>
      <c r="C830" s="303">
        <f t="shared" si="12"/>
        <v>2.3083700000000009</v>
      </c>
    </row>
    <row r="831" spans="2:3" x14ac:dyDescent="0.25">
      <c r="B831" s="245">
        <v>46333</v>
      </c>
      <c r="C831" s="303">
        <f t="shared" si="12"/>
        <v>2.3083700000000009</v>
      </c>
    </row>
    <row r="832" spans="2:3" x14ac:dyDescent="0.25">
      <c r="B832" s="245">
        <v>46334</v>
      </c>
      <c r="C832" s="303">
        <f t="shared" si="12"/>
        <v>2.3083700000000009</v>
      </c>
    </row>
    <row r="833" spans="2:3" x14ac:dyDescent="0.25">
      <c r="B833" s="245">
        <v>46335</v>
      </c>
      <c r="C833" s="303">
        <f t="shared" si="12"/>
        <v>2.3083700000000009</v>
      </c>
    </row>
    <row r="834" spans="2:3" x14ac:dyDescent="0.25">
      <c r="B834" s="245">
        <v>46336</v>
      </c>
      <c r="C834" s="303">
        <f t="shared" si="12"/>
        <v>2.3083700000000009</v>
      </c>
    </row>
    <row r="835" spans="2:3" x14ac:dyDescent="0.25">
      <c r="B835" s="245">
        <v>46337</v>
      </c>
      <c r="C835" s="303">
        <f t="shared" si="12"/>
        <v>2.3083700000000009</v>
      </c>
    </row>
    <row r="836" spans="2:3" x14ac:dyDescent="0.25">
      <c r="B836" s="245">
        <v>46338</v>
      </c>
      <c r="C836" s="303">
        <f t="shared" si="12"/>
        <v>2.3083700000000009</v>
      </c>
    </row>
    <row r="837" spans="2:3" x14ac:dyDescent="0.25">
      <c r="B837" s="245">
        <v>46339</v>
      </c>
      <c r="C837" s="303">
        <f t="shared" si="12"/>
        <v>2.3083700000000009</v>
      </c>
    </row>
    <row r="838" spans="2:3" x14ac:dyDescent="0.25">
      <c r="B838" s="245">
        <v>46340</v>
      </c>
      <c r="C838" s="303">
        <f t="shared" si="12"/>
        <v>2.3083700000000009</v>
      </c>
    </row>
    <row r="839" spans="2:3" x14ac:dyDescent="0.25">
      <c r="B839" s="245">
        <v>46341</v>
      </c>
      <c r="C839" s="303">
        <f t="shared" si="12"/>
        <v>2.3083700000000009</v>
      </c>
    </row>
    <row r="840" spans="2:3" x14ac:dyDescent="0.25">
      <c r="B840" s="245">
        <v>46342</v>
      </c>
      <c r="C840" s="303">
        <f t="shared" si="12"/>
        <v>2.3083700000000009</v>
      </c>
    </row>
    <row r="841" spans="2:3" x14ac:dyDescent="0.25">
      <c r="B841" s="245">
        <v>46343</v>
      </c>
      <c r="C841" s="303">
        <f t="shared" si="12"/>
        <v>2.3083700000000009</v>
      </c>
    </row>
    <row r="842" spans="2:3" x14ac:dyDescent="0.25">
      <c r="B842" s="245">
        <v>46344</v>
      </c>
      <c r="C842" s="303">
        <f t="shared" si="12"/>
        <v>2.3083700000000009</v>
      </c>
    </row>
    <row r="843" spans="2:3" x14ac:dyDescent="0.25">
      <c r="B843" s="245">
        <v>46345</v>
      </c>
      <c r="C843" s="303">
        <f t="shared" si="12"/>
        <v>2.3083700000000009</v>
      </c>
    </row>
    <row r="844" spans="2:3" x14ac:dyDescent="0.25">
      <c r="B844" s="245">
        <v>46346</v>
      </c>
      <c r="C844" s="303">
        <f t="shared" si="12"/>
        <v>2.3083700000000009</v>
      </c>
    </row>
    <row r="845" spans="2:3" x14ac:dyDescent="0.25">
      <c r="B845" s="245">
        <v>46347</v>
      </c>
      <c r="C845" s="303">
        <f t="shared" si="12"/>
        <v>2.3083700000000009</v>
      </c>
    </row>
    <row r="846" spans="2:3" x14ac:dyDescent="0.25">
      <c r="B846" s="245">
        <v>46348</v>
      </c>
      <c r="C846" s="303">
        <f t="shared" si="12"/>
        <v>2.3083700000000009</v>
      </c>
    </row>
    <row r="847" spans="2:3" x14ac:dyDescent="0.25">
      <c r="B847" s="245">
        <v>46349</v>
      </c>
      <c r="C847" s="303">
        <f t="shared" si="12"/>
        <v>2.3083700000000009</v>
      </c>
    </row>
    <row r="848" spans="2:3" x14ac:dyDescent="0.25">
      <c r="B848" s="245">
        <v>46350</v>
      </c>
      <c r="C848" s="303">
        <f t="shared" si="12"/>
        <v>2.3083700000000009</v>
      </c>
    </row>
    <row r="849" spans="2:3" x14ac:dyDescent="0.25">
      <c r="B849" s="245">
        <v>46351</v>
      </c>
      <c r="C849" s="303">
        <f t="shared" si="12"/>
        <v>2.3083700000000009</v>
      </c>
    </row>
    <row r="850" spans="2:3" x14ac:dyDescent="0.25">
      <c r="B850" s="245">
        <v>46352</v>
      </c>
      <c r="C850" s="303">
        <f t="shared" si="12"/>
        <v>2.3083700000000009</v>
      </c>
    </row>
    <row r="851" spans="2:3" x14ac:dyDescent="0.25">
      <c r="B851" s="245">
        <v>46353</v>
      </c>
      <c r="C851" s="303">
        <f t="shared" si="12"/>
        <v>2.3083700000000009</v>
      </c>
    </row>
    <row r="852" spans="2:3" x14ac:dyDescent="0.25">
      <c r="B852" s="245">
        <v>46354</v>
      </c>
      <c r="C852" s="303">
        <f t="shared" si="12"/>
        <v>2.3083700000000009</v>
      </c>
    </row>
    <row r="853" spans="2:3" x14ac:dyDescent="0.25">
      <c r="B853" s="245">
        <v>46355</v>
      </c>
      <c r="C853" s="303">
        <f t="shared" si="12"/>
        <v>2.3083700000000009</v>
      </c>
    </row>
    <row r="854" spans="2:3" x14ac:dyDescent="0.25">
      <c r="B854" s="245">
        <v>46356</v>
      </c>
      <c r="C854" s="303">
        <f t="shared" si="12"/>
        <v>2.3083700000000009</v>
      </c>
    </row>
    <row r="855" spans="2:3" x14ac:dyDescent="0.25">
      <c r="B855" s="245">
        <v>46357</v>
      </c>
      <c r="C855" s="303">
        <f t="shared" si="12"/>
        <v>2.3083700000000009</v>
      </c>
    </row>
    <row r="856" spans="2:3" x14ac:dyDescent="0.25">
      <c r="B856" s="245">
        <v>46358</v>
      </c>
      <c r="C856" s="303">
        <f t="shared" si="12"/>
        <v>2.3083700000000009</v>
      </c>
    </row>
    <row r="857" spans="2:3" x14ac:dyDescent="0.25">
      <c r="B857" s="245">
        <v>46359</v>
      </c>
      <c r="C857" s="303">
        <f t="shared" si="12"/>
        <v>2.3083700000000009</v>
      </c>
    </row>
    <row r="858" spans="2:3" x14ac:dyDescent="0.25">
      <c r="B858" s="245">
        <v>46360</v>
      </c>
      <c r="C858" s="303">
        <f t="shared" si="12"/>
        <v>2.3083700000000009</v>
      </c>
    </row>
    <row r="859" spans="2:3" x14ac:dyDescent="0.25">
      <c r="B859" s="245">
        <v>46361</v>
      </c>
      <c r="C859" s="303">
        <f t="shared" si="12"/>
        <v>2.3083700000000009</v>
      </c>
    </row>
    <row r="860" spans="2:3" x14ac:dyDescent="0.25">
      <c r="B860" s="245">
        <v>46362</v>
      </c>
      <c r="C860" s="303">
        <f t="shared" si="12"/>
        <v>2.3083700000000009</v>
      </c>
    </row>
    <row r="861" spans="2:3" x14ac:dyDescent="0.25">
      <c r="B861" s="245">
        <v>46363</v>
      </c>
      <c r="C861" s="303">
        <f t="shared" si="12"/>
        <v>2.3083700000000009</v>
      </c>
    </row>
    <row r="862" spans="2:3" x14ac:dyDescent="0.25">
      <c r="B862" s="245">
        <v>46364</v>
      </c>
      <c r="C862" s="303">
        <f t="shared" si="12"/>
        <v>2.3083700000000009</v>
      </c>
    </row>
    <row r="863" spans="2:3" x14ac:dyDescent="0.25">
      <c r="B863" s="245">
        <v>46365</v>
      </c>
      <c r="C863" s="303">
        <f t="shared" si="12"/>
        <v>2.3083700000000009</v>
      </c>
    </row>
    <row r="864" spans="2:3" x14ac:dyDescent="0.25">
      <c r="B864" s="245">
        <v>46366</v>
      </c>
      <c r="C864" s="303">
        <f t="shared" si="12"/>
        <v>2.3083700000000009</v>
      </c>
    </row>
    <row r="865" spans="2:3" x14ac:dyDescent="0.25">
      <c r="B865" s="245">
        <v>46367</v>
      </c>
      <c r="C865" s="303">
        <f t="shared" si="12"/>
        <v>2.3083700000000009</v>
      </c>
    </row>
    <row r="866" spans="2:3" x14ac:dyDescent="0.25">
      <c r="B866" s="245">
        <v>46368</v>
      </c>
      <c r="C866" s="303">
        <f t="shared" si="12"/>
        <v>2.3083700000000009</v>
      </c>
    </row>
    <row r="867" spans="2:3" x14ac:dyDescent="0.25">
      <c r="B867" s="245">
        <v>46369</v>
      </c>
      <c r="C867" s="303">
        <f t="shared" si="12"/>
        <v>2.3083700000000009</v>
      </c>
    </row>
    <row r="868" spans="2:3" x14ac:dyDescent="0.25">
      <c r="B868" s="245">
        <v>46370</v>
      </c>
      <c r="C868" s="303">
        <f t="shared" si="12"/>
        <v>2.3083700000000009</v>
      </c>
    </row>
    <row r="869" spans="2:3" x14ac:dyDescent="0.25">
      <c r="B869" s="245">
        <v>46371</v>
      </c>
      <c r="C869" s="303">
        <f t="shared" si="12"/>
        <v>2.3083700000000009</v>
      </c>
    </row>
    <row r="870" spans="2:3" x14ac:dyDescent="0.25">
      <c r="B870" s="245">
        <v>46372</v>
      </c>
      <c r="C870" s="303">
        <f t="shared" si="12"/>
        <v>2.3083700000000009</v>
      </c>
    </row>
    <row r="871" spans="2:3" x14ac:dyDescent="0.25">
      <c r="B871" s="245">
        <v>46373</v>
      </c>
      <c r="C871" s="303">
        <f t="shared" si="12"/>
        <v>2.3083700000000009</v>
      </c>
    </row>
    <row r="872" spans="2:3" x14ac:dyDescent="0.25">
      <c r="B872" s="245">
        <v>46374</v>
      </c>
      <c r="C872" s="303">
        <f t="shared" si="12"/>
        <v>2.3083700000000009</v>
      </c>
    </row>
    <row r="873" spans="2:3" x14ac:dyDescent="0.25">
      <c r="B873" s="245">
        <v>46375</v>
      </c>
      <c r="C873" s="303">
        <f t="shared" si="12"/>
        <v>2.3083700000000009</v>
      </c>
    </row>
    <row r="874" spans="2:3" x14ac:dyDescent="0.25">
      <c r="B874" s="245">
        <v>46376</v>
      </c>
      <c r="C874" s="303">
        <f t="shared" si="12"/>
        <v>2.3083700000000009</v>
      </c>
    </row>
    <row r="875" spans="2:3" x14ac:dyDescent="0.25">
      <c r="B875" s="245">
        <v>46377</v>
      </c>
      <c r="C875" s="303">
        <f t="shared" si="12"/>
        <v>2.3083700000000009</v>
      </c>
    </row>
    <row r="876" spans="2:3" x14ac:dyDescent="0.25">
      <c r="B876" s="245">
        <v>46378</v>
      </c>
      <c r="C876" s="303">
        <f t="shared" si="12"/>
        <v>2.3083700000000009</v>
      </c>
    </row>
    <row r="877" spans="2:3" x14ac:dyDescent="0.25">
      <c r="B877" s="245">
        <v>46379</v>
      </c>
      <c r="C877" s="303">
        <f t="shared" si="12"/>
        <v>2.3083700000000009</v>
      </c>
    </row>
    <row r="878" spans="2:3" x14ac:dyDescent="0.25">
      <c r="B878" s="245">
        <v>46380</v>
      </c>
      <c r="C878" s="303">
        <f t="shared" si="12"/>
        <v>2.3083700000000009</v>
      </c>
    </row>
    <row r="879" spans="2:3" x14ac:dyDescent="0.25">
      <c r="B879" s="245">
        <v>46381</v>
      </c>
      <c r="C879" s="303">
        <f t="shared" si="12"/>
        <v>2.3083700000000009</v>
      </c>
    </row>
    <row r="880" spans="2:3" x14ac:dyDescent="0.25">
      <c r="B880" s="245">
        <v>46382</v>
      </c>
      <c r="C880" s="303">
        <f t="shared" ref="C880:C885" si="13">C879</f>
        <v>2.3083700000000009</v>
      </c>
    </row>
    <row r="881" spans="2:3" x14ac:dyDescent="0.25">
      <c r="B881" s="245">
        <v>46383</v>
      </c>
      <c r="C881" s="303">
        <f t="shared" si="13"/>
        <v>2.3083700000000009</v>
      </c>
    </row>
    <row r="882" spans="2:3" x14ac:dyDescent="0.25">
      <c r="B882" s="245">
        <v>46384</v>
      </c>
      <c r="C882" s="303">
        <f t="shared" si="13"/>
        <v>2.3083700000000009</v>
      </c>
    </row>
    <row r="883" spans="2:3" x14ac:dyDescent="0.25">
      <c r="B883" s="245">
        <v>46385</v>
      </c>
      <c r="C883" s="303">
        <f t="shared" si="13"/>
        <v>2.3083700000000009</v>
      </c>
    </row>
    <row r="884" spans="2:3" x14ac:dyDescent="0.25">
      <c r="B884" s="245">
        <v>46386</v>
      </c>
      <c r="C884" s="303">
        <f t="shared" si="13"/>
        <v>2.3083700000000009</v>
      </c>
    </row>
    <row r="885" spans="2:3" x14ac:dyDescent="0.25">
      <c r="B885" s="245">
        <v>46387</v>
      </c>
      <c r="C885" s="303">
        <f t="shared" si="13"/>
        <v>2.3083700000000009</v>
      </c>
    </row>
  </sheetData>
  <phoneticPr fontId="59" type="noConversion"/>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73236-D983-47FB-AEC1-B3DE90E2272E}">
  <dimension ref="O2:AB91"/>
  <sheetViews>
    <sheetView showGridLines="0" workbookViewId="0">
      <selection activeCell="Z6" sqref="Z6"/>
    </sheetView>
  </sheetViews>
  <sheetFormatPr baseColWidth="10" defaultRowHeight="14.4" x14ac:dyDescent="0.3"/>
  <cols>
    <col min="1" max="24" width="11.5546875" style="150"/>
    <col min="25" max="26" width="13.88671875" style="150" bestFit="1" customWidth="1"/>
    <col min="27" max="16384" width="11.5546875" style="150"/>
  </cols>
  <sheetData>
    <row r="2" spans="25:28" x14ac:dyDescent="0.3">
      <c r="Y2" s="180" t="s">
        <v>120</v>
      </c>
      <c r="Z2" s="293" t="s">
        <v>45</v>
      </c>
      <c r="AA2" s="293" t="s">
        <v>243</v>
      </c>
      <c r="AB2" s="293" t="s">
        <v>231</v>
      </c>
    </row>
    <row r="3" spans="25:28" x14ac:dyDescent="0.3">
      <c r="Z3" s="150" t="s">
        <v>121</v>
      </c>
      <c r="AA3" s="292">
        <v>-2.5000000000000001E-3</v>
      </c>
      <c r="AB3" s="292">
        <v>4.2500000000000003E-2</v>
      </c>
    </row>
    <row r="4" spans="25:28" x14ac:dyDescent="0.3">
      <c r="Z4" s="150" t="s">
        <v>122</v>
      </c>
      <c r="AA4" s="292">
        <v>-5.0000000000000001E-3</v>
      </c>
      <c r="AB4" s="292">
        <v>3.7499999999999999E-2</v>
      </c>
    </row>
    <row r="5" spans="25:28" x14ac:dyDescent="0.3">
      <c r="Z5" s="150" t="s">
        <v>123</v>
      </c>
      <c r="AA5" s="333">
        <v>-5.0000000000000001E-3</v>
      </c>
      <c r="AB5" s="292">
        <f>AB4+AA5</f>
        <v>3.2500000000000001E-2</v>
      </c>
    </row>
    <row r="6" spans="25:28" x14ac:dyDescent="0.3">
      <c r="Z6" s="294" t="s">
        <v>124</v>
      </c>
      <c r="AA6" s="300">
        <v>-2.5000000000000001E-3</v>
      </c>
      <c r="AB6" s="301">
        <f t="shared" ref="AB6:AB13" si="0">AB5+AA6</f>
        <v>3.0000000000000002E-2</v>
      </c>
    </row>
    <row r="7" spans="25:28" x14ac:dyDescent="0.3">
      <c r="Z7" s="294" t="s">
        <v>125</v>
      </c>
      <c r="AA7" s="300">
        <v>-2.5000000000000001E-3</v>
      </c>
      <c r="AB7" s="301">
        <f t="shared" si="0"/>
        <v>2.7500000000000004E-2</v>
      </c>
    </row>
    <row r="8" spans="25:28" x14ac:dyDescent="0.3">
      <c r="Z8" s="294" t="s">
        <v>126</v>
      </c>
      <c r="AA8" s="300">
        <v>-2.5000000000000001E-3</v>
      </c>
      <c r="AB8" s="301">
        <f t="shared" si="0"/>
        <v>2.5000000000000005E-2</v>
      </c>
    </row>
    <row r="9" spans="25:28" x14ac:dyDescent="0.3">
      <c r="Z9" s="294" t="s">
        <v>127</v>
      </c>
      <c r="AA9" s="300">
        <v>-2.5000000000000001E-3</v>
      </c>
      <c r="AB9" s="301">
        <f t="shared" si="0"/>
        <v>2.2500000000000006E-2</v>
      </c>
    </row>
    <row r="10" spans="25:28" x14ac:dyDescent="0.3">
      <c r="Z10" s="294" t="s">
        <v>128</v>
      </c>
      <c r="AA10" s="300">
        <v>0</v>
      </c>
      <c r="AB10" s="301">
        <f t="shared" si="0"/>
        <v>2.2500000000000006E-2</v>
      </c>
    </row>
    <row r="11" spans="25:28" x14ac:dyDescent="0.3">
      <c r="Z11" s="294" t="s">
        <v>129</v>
      </c>
      <c r="AA11" s="300">
        <v>0</v>
      </c>
      <c r="AB11" s="301">
        <f t="shared" si="0"/>
        <v>2.2500000000000006E-2</v>
      </c>
    </row>
    <row r="12" spans="25:28" x14ac:dyDescent="0.3">
      <c r="Z12" s="294" t="s">
        <v>130</v>
      </c>
      <c r="AA12" s="300">
        <v>0</v>
      </c>
      <c r="AB12" s="301">
        <f t="shared" si="0"/>
        <v>2.2500000000000006E-2</v>
      </c>
    </row>
    <row r="13" spans="25:28" x14ac:dyDescent="0.3">
      <c r="Z13" s="294" t="s">
        <v>131</v>
      </c>
      <c r="AA13" s="300">
        <v>0</v>
      </c>
      <c r="AB13" s="301">
        <f t="shared" si="0"/>
        <v>2.2500000000000006E-2</v>
      </c>
    </row>
    <row r="19" spans="25:28" x14ac:dyDescent="0.3">
      <c r="Y19" s="213"/>
      <c r="Z19" s="213"/>
      <c r="AA19" s="273"/>
      <c r="AB19" s="302"/>
    </row>
    <row r="20" spans="25:28" x14ac:dyDescent="0.3">
      <c r="Y20" s="213"/>
      <c r="Z20" s="213"/>
      <c r="AA20" s="273"/>
      <c r="AB20" s="302"/>
    </row>
    <row r="21" spans="25:28" x14ac:dyDescent="0.3">
      <c r="Y21" s="213"/>
      <c r="Z21" s="213"/>
      <c r="AA21" s="273"/>
      <c r="AB21" s="302"/>
    </row>
    <row r="22" spans="25:28" x14ac:dyDescent="0.3">
      <c r="Y22" s="213"/>
      <c r="Z22" s="213"/>
      <c r="AA22" s="273"/>
      <c r="AB22" s="302"/>
    </row>
    <row r="23" spans="25:28" x14ac:dyDescent="0.3">
      <c r="Y23" s="213"/>
      <c r="Z23" s="213"/>
      <c r="AA23" s="273"/>
      <c r="AB23" s="302"/>
    </row>
    <row r="24" spans="25:28" x14ac:dyDescent="0.3">
      <c r="Y24" s="213"/>
      <c r="Z24" s="213"/>
      <c r="AA24" s="273"/>
      <c r="AB24" s="302"/>
    </row>
    <row r="25" spans="25:28" x14ac:dyDescent="0.3">
      <c r="Y25" s="213"/>
      <c r="Z25" s="213"/>
      <c r="AA25" s="273"/>
      <c r="AB25" s="302"/>
    </row>
    <row r="26" spans="25:28" x14ac:dyDescent="0.3">
      <c r="Y26" s="213"/>
      <c r="Z26" s="213"/>
      <c r="AA26" s="273"/>
      <c r="AB26" s="302"/>
    </row>
    <row r="27" spans="25:28" x14ac:dyDescent="0.3">
      <c r="Y27" s="213"/>
      <c r="Z27" s="213"/>
      <c r="AA27" s="273"/>
      <c r="AB27" s="302"/>
    </row>
    <row r="28" spans="25:28" x14ac:dyDescent="0.3">
      <c r="Y28" s="213"/>
      <c r="Z28" s="213"/>
      <c r="AA28" s="273"/>
      <c r="AB28" s="302"/>
    </row>
    <row r="29" spans="25:28" x14ac:dyDescent="0.3">
      <c r="Y29" s="213"/>
      <c r="Z29" s="213"/>
      <c r="AA29" s="273"/>
      <c r="AB29" s="302"/>
    </row>
    <row r="30" spans="25:28" x14ac:dyDescent="0.3">
      <c r="Y30" s="213"/>
      <c r="Z30" s="213"/>
      <c r="AA30" s="273"/>
      <c r="AB30" s="302"/>
    </row>
    <row r="31" spans="25:28" x14ac:dyDescent="0.3">
      <c r="Y31" s="213"/>
      <c r="Z31" s="213"/>
      <c r="AA31" s="273"/>
      <c r="AB31" s="302"/>
    </row>
    <row r="91" spans="15:23" x14ac:dyDescent="0.3">
      <c r="O91" s="430" t="s">
        <v>111</v>
      </c>
      <c r="P91" s="430"/>
      <c r="Q91" s="430"/>
      <c r="R91" s="430"/>
      <c r="S91" s="430"/>
      <c r="T91" s="430"/>
      <c r="U91" s="430"/>
      <c r="V91" s="430"/>
      <c r="W91" s="430"/>
    </row>
  </sheetData>
  <protectedRanges>
    <protectedRange password="C59C" sqref="Z19:AA31" name="Range1_1_1"/>
  </protectedRanges>
  <mergeCells count="1">
    <mergeCell ref="O91:W9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DAA0C-4435-447C-B6DA-12A846DF8D91}">
  <sheetPr>
    <pageSetUpPr fitToPage="1"/>
  </sheetPr>
  <dimension ref="A1:O35"/>
  <sheetViews>
    <sheetView zoomScaleNormal="100" workbookViewId="0">
      <selection activeCell="I9" sqref="I9"/>
    </sheetView>
  </sheetViews>
  <sheetFormatPr baseColWidth="10" defaultColWidth="11.5546875" defaultRowHeight="13.2" outlineLevelRow="1" x14ac:dyDescent="0.25"/>
  <cols>
    <col min="1" max="1" width="35.33203125" style="376" customWidth="1"/>
    <col min="2" max="2" width="12.5546875" style="376" customWidth="1"/>
    <col min="3" max="3" width="13.6640625" style="376" bestFit="1" customWidth="1"/>
    <col min="4" max="4" width="11.5546875" style="376"/>
    <col min="5" max="6" width="16.6640625" style="376" bestFit="1" customWidth="1"/>
    <col min="7" max="7" width="14.5546875" style="376" customWidth="1"/>
    <col min="8" max="8" width="17.77734375" style="376" customWidth="1"/>
    <col min="9" max="9" width="27.88671875" style="376" customWidth="1"/>
    <col min="10" max="10" width="3.33203125" style="376" customWidth="1"/>
    <col min="11" max="11" width="15.33203125" style="376" bestFit="1" customWidth="1"/>
    <col min="12" max="12" width="18.109375" style="376" customWidth="1"/>
    <col min="13" max="13" width="11.5546875" style="376"/>
    <col min="14" max="14" width="32.88671875" style="376" customWidth="1"/>
    <col min="15" max="15" width="16" style="376" bestFit="1" customWidth="1"/>
    <col min="16" max="16384" width="11.5546875" style="376"/>
  </cols>
  <sheetData>
    <row r="1" spans="1:15" x14ac:dyDescent="0.25">
      <c r="A1" s="376" t="s">
        <v>64</v>
      </c>
    </row>
    <row r="2" spans="1:15" ht="13.8" thickBot="1" x14ac:dyDescent="0.3"/>
    <row r="3" spans="1:15" ht="13.8" thickBot="1" x14ac:dyDescent="0.3">
      <c r="A3" s="376" t="s">
        <v>65</v>
      </c>
      <c r="B3" s="431">
        <v>45657</v>
      </c>
      <c r="C3" s="432"/>
      <c r="D3" s="432"/>
      <c r="E3" s="432"/>
      <c r="F3" s="432"/>
      <c r="G3" s="432"/>
      <c r="H3" s="432"/>
      <c r="I3" s="433"/>
    </row>
    <row r="4" spans="1:15" ht="58.2" customHeight="1" x14ac:dyDescent="0.25">
      <c r="A4" s="377" t="s">
        <v>66</v>
      </c>
      <c r="B4" s="378" t="s">
        <v>67</v>
      </c>
      <c r="C4" s="379" t="s">
        <v>0</v>
      </c>
      <c r="D4" s="379" t="s">
        <v>68</v>
      </c>
      <c r="E4" s="380" t="s">
        <v>69</v>
      </c>
      <c r="F4" s="380" t="s">
        <v>70</v>
      </c>
      <c r="G4" s="379" t="s">
        <v>71</v>
      </c>
      <c r="H4" s="379" t="s">
        <v>241</v>
      </c>
      <c r="I4" s="381" t="s">
        <v>73</v>
      </c>
      <c r="K4" s="379"/>
      <c r="L4" s="379" t="s">
        <v>74</v>
      </c>
      <c r="M4" s="379" t="s">
        <v>75</v>
      </c>
      <c r="O4" s="376" t="s">
        <v>76</v>
      </c>
    </row>
    <row r="5" spans="1:15" x14ac:dyDescent="0.25">
      <c r="A5" s="382"/>
      <c r="B5" s="383"/>
      <c r="C5" s="384"/>
      <c r="D5" s="384"/>
      <c r="E5" s="363"/>
      <c r="F5" s="363"/>
      <c r="G5" s="364"/>
      <c r="H5" s="364"/>
      <c r="I5" s="365" t="s">
        <v>77</v>
      </c>
      <c r="K5" s="385"/>
      <c r="L5" s="291"/>
      <c r="M5" s="386"/>
      <c r="O5" s="385"/>
    </row>
    <row r="6" spans="1:15" x14ac:dyDescent="0.25">
      <c r="A6" s="382"/>
      <c r="B6" s="383"/>
      <c r="C6" s="384"/>
      <c r="D6" s="384"/>
      <c r="E6" s="366"/>
      <c r="F6" s="366"/>
      <c r="G6" s="367"/>
      <c r="H6" s="367"/>
      <c r="I6" s="368" t="s">
        <v>78</v>
      </c>
      <c r="K6" s="385"/>
      <c r="L6" s="369"/>
      <c r="M6" s="386"/>
      <c r="O6" s="385"/>
    </row>
    <row r="7" spans="1:15" x14ac:dyDescent="0.25">
      <c r="A7" s="382" t="s">
        <v>240</v>
      </c>
      <c r="B7" s="383">
        <v>45499</v>
      </c>
      <c r="C7" s="384">
        <v>45499</v>
      </c>
      <c r="D7" s="384">
        <v>49151</v>
      </c>
      <c r="E7" s="363">
        <v>30000000</v>
      </c>
      <c r="F7" s="363">
        <v>30000000</v>
      </c>
      <c r="G7" s="364">
        <v>2.87E-2</v>
      </c>
      <c r="H7" s="364">
        <v>2.2954700000000001E-2</v>
      </c>
      <c r="I7" s="365">
        <v>-109474.27</v>
      </c>
      <c r="K7" s="385"/>
      <c r="L7" s="291" t="s">
        <v>261</v>
      </c>
      <c r="M7" s="386">
        <v>46599</v>
      </c>
      <c r="N7" s="376" t="s">
        <v>79</v>
      </c>
      <c r="O7" s="385" t="s">
        <v>266</v>
      </c>
    </row>
    <row r="8" spans="1:15" x14ac:dyDescent="0.25">
      <c r="A8" s="382" t="s">
        <v>240</v>
      </c>
      <c r="B8" s="383">
        <v>45499</v>
      </c>
      <c r="C8" s="384">
        <v>45499</v>
      </c>
      <c r="D8" s="384">
        <v>47325</v>
      </c>
      <c r="E8" s="363">
        <v>45000000</v>
      </c>
      <c r="F8" s="363">
        <v>44635365.539999999</v>
      </c>
      <c r="G8" s="364">
        <v>2.7799999999999998E-2</v>
      </c>
      <c r="H8" s="364">
        <v>2.2954700000000001E-2</v>
      </c>
      <c r="I8" s="365">
        <v>167713.92000000001</v>
      </c>
      <c r="K8" s="385"/>
      <c r="L8" s="291" t="s">
        <v>262</v>
      </c>
      <c r="M8" s="386">
        <v>46599</v>
      </c>
      <c r="N8" s="376" t="s">
        <v>79</v>
      </c>
      <c r="O8" s="385" t="s">
        <v>80</v>
      </c>
    </row>
    <row r="9" spans="1:15" x14ac:dyDescent="0.25">
      <c r="A9" s="382" t="s">
        <v>240</v>
      </c>
      <c r="B9" s="383">
        <v>45517</v>
      </c>
      <c r="C9" s="384">
        <v>45517</v>
      </c>
      <c r="D9" s="384">
        <v>47325</v>
      </c>
      <c r="E9" s="363">
        <v>30000000</v>
      </c>
      <c r="F9" s="363">
        <v>29737478</v>
      </c>
      <c r="G9" s="364">
        <v>2.4799999999999999E-2</v>
      </c>
      <c r="H9" s="364">
        <v>2.2954700000000001E-2</v>
      </c>
      <c r="I9" s="365">
        <v>-195510.96</v>
      </c>
      <c r="K9" s="385"/>
      <c r="L9" s="291" t="s">
        <v>263</v>
      </c>
      <c r="M9" s="386">
        <f>+M8</f>
        <v>46599</v>
      </c>
      <c r="N9" s="376" t="s">
        <v>79</v>
      </c>
      <c r="O9" s="385" t="s">
        <v>80</v>
      </c>
    </row>
    <row r="10" spans="1:15" x14ac:dyDescent="0.25">
      <c r="A10" s="382" t="s">
        <v>240</v>
      </c>
      <c r="B10" s="383">
        <v>45524</v>
      </c>
      <c r="C10" s="384">
        <v>45524</v>
      </c>
      <c r="D10" s="384">
        <v>46594</v>
      </c>
      <c r="E10" s="363">
        <v>15000000</v>
      </c>
      <c r="F10" s="363">
        <v>14904908.49</v>
      </c>
      <c r="G10" s="364">
        <v>3.1300000000000001E-2</v>
      </c>
      <c r="H10" s="364">
        <v>2.2954700000000001E-2</v>
      </c>
      <c r="I10" s="365">
        <v>-157146.59</v>
      </c>
      <c r="K10" s="385"/>
      <c r="L10" s="291" t="s">
        <v>264</v>
      </c>
      <c r="M10" s="386">
        <f>+M9</f>
        <v>46599</v>
      </c>
      <c r="N10" s="376" t="s">
        <v>79</v>
      </c>
      <c r="O10" s="385" t="s">
        <v>81</v>
      </c>
    </row>
    <row r="11" spans="1:15" ht="13.8" thickBot="1" x14ac:dyDescent="0.3">
      <c r="A11" s="382" t="s">
        <v>240</v>
      </c>
      <c r="B11" s="383">
        <v>45644</v>
      </c>
      <c r="C11" s="384">
        <v>45644</v>
      </c>
      <c r="D11" s="384">
        <v>46385</v>
      </c>
      <c r="E11" s="363">
        <v>5700000</v>
      </c>
      <c r="F11" s="363">
        <v>5700000</v>
      </c>
      <c r="G11" s="364">
        <v>2.9175E-2</v>
      </c>
      <c r="H11" s="364">
        <v>2.2954700000000001E-2</v>
      </c>
      <c r="I11" s="365">
        <v>18973.32</v>
      </c>
      <c r="K11" s="385"/>
      <c r="L11" s="291" t="s">
        <v>265</v>
      </c>
      <c r="M11" s="386">
        <f>+M10</f>
        <v>46599</v>
      </c>
      <c r="N11" s="376" t="s">
        <v>79</v>
      </c>
      <c r="O11" s="385" t="s">
        <v>81</v>
      </c>
    </row>
    <row r="12" spans="1:15" ht="13.8" thickBot="1" x14ac:dyDescent="0.3">
      <c r="B12" s="387"/>
      <c r="C12" s="388"/>
      <c r="D12" s="388"/>
      <c r="E12" s="389">
        <f>SUM(E7:E11)</f>
        <v>125700000</v>
      </c>
      <c r="F12" s="411">
        <f>SUM(F7:F11)</f>
        <v>124977752.02999999</v>
      </c>
      <c r="G12" s="388"/>
      <c r="H12" s="388"/>
      <c r="I12" s="390"/>
      <c r="K12" s="385"/>
      <c r="L12" s="369"/>
      <c r="M12" s="386"/>
      <c r="O12" s="385"/>
    </row>
    <row r="13" spans="1:15" ht="13.8" thickBot="1" x14ac:dyDescent="0.3">
      <c r="B13" s="391"/>
      <c r="C13" s="385"/>
      <c r="E13" s="392"/>
      <c r="F13" s="393">
        <f>+F12/F25</f>
        <v>0.89475775630511356</v>
      </c>
      <c r="I13" s="394"/>
      <c r="K13" s="385"/>
      <c r="L13" s="369"/>
      <c r="M13" s="386"/>
      <c r="O13" s="385"/>
    </row>
    <row r="14" spans="1:15" hidden="1" outlineLevel="1" x14ac:dyDescent="0.25">
      <c r="A14" s="377"/>
      <c r="B14" s="391"/>
      <c r="C14" s="385" t="s">
        <v>82</v>
      </c>
      <c r="E14" s="385"/>
      <c r="F14" s="385" t="s">
        <v>83</v>
      </c>
      <c r="G14" s="434" t="s">
        <v>242</v>
      </c>
      <c r="H14" s="434"/>
      <c r="I14" s="435"/>
      <c r="K14" s="385"/>
      <c r="L14" s="369"/>
      <c r="M14" s="386"/>
      <c r="O14" s="385"/>
    </row>
    <row r="15" spans="1:15" hidden="1" outlineLevel="1" x14ac:dyDescent="0.25">
      <c r="A15" s="395" t="s">
        <v>84</v>
      </c>
      <c r="B15" s="391"/>
      <c r="C15" s="370">
        <v>55000000</v>
      </c>
      <c r="D15" s="384"/>
      <c r="E15" s="371"/>
      <c r="F15" s="370">
        <v>39000000</v>
      </c>
      <c r="G15" s="396"/>
      <c r="I15" s="394"/>
      <c r="M15" s="385"/>
      <c r="O15" s="385"/>
    </row>
    <row r="16" spans="1:15" hidden="1" outlineLevel="1" x14ac:dyDescent="0.25">
      <c r="A16" s="395" t="s">
        <v>85</v>
      </c>
      <c r="B16" s="391"/>
      <c r="C16" s="370">
        <v>90000000</v>
      </c>
      <c r="D16" s="384"/>
      <c r="E16" s="371"/>
      <c r="F16" s="371">
        <v>89277752.050000012</v>
      </c>
      <c r="I16" s="394"/>
      <c r="M16" s="385"/>
      <c r="O16" s="385"/>
    </row>
    <row r="17" spans="1:15" hidden="1" outlineLevel="1" x14ac:dyDescent="0.25">
      <c r="A17" s="395" t="s">
        <v>101</v>
      </c>
      <c r="B17" s="391"/>
      <c r="C17" s="370">
        <v>20000000</v>
      </c>
      <c r="D17" s="384"/>
      <c r="E17" s="371"/>
      <c r="F17" s="371">
        <v>11400000</v>
      </c>
      <c r="I17" s="394"/>
      <c r="M17" s="385"/>
      <c r="O17" s="385"/>
    </row>
    <row r="18" spans="1:15" collapsed="1" x14ac:dyDescent="0.25">
      <c r="A18" s="377"/>
      <c r="B18" s="391"/>
      <c r="C18" s="370"/>
      <c r="D18" s="384"/>
      <c r="E18" s="371"/>
      <c r="F18" s="371"/>
      <c r="I18" s="394"/>
      <c r="M18" s="385"/>
      <c r="O18" s="385"/>
    </row>
    <row r="19" spans="1:15" ht="33.75" customHeight="1" x14ac:dyDescent="0.25">
      <c r="A19" s="377" t="s">
        <v>86</v>
      </c>
      <c r="B19" s="391"/>
      <c r="C19" s="370"/>
      <c r="D19" s="384"/>
      <c r="E19" s="371"/>
      <c r="F19" s="371"/>
      <c r="I19" s="394"/>
      <c r="L19" s="385"/>
      <c r="M19" s="386"/>
      <c r="O19" s="385"/>
    </row>
    <row r="20" spans="1:15" x14ac:dyDescent="0.25">
      <c r="A20" s="382"/>
      <c r="B20" s="391"/>
      <c r="C20" s="385" t="s">
        <v>82</v>
      </c>
      <c r="D20" s="384"/>
      <c r="E20" s="371"/>
      <c r="F20" s="371"/>
      <c r="I20" s="394"/>
      <c r="L20" s="385"/>
      <c r="M20" s="386"/>
      <c r="O20" s="385"/>
    </row>
    <row r="21" spans="1:15" x14ac:dyDescent="0.25">
      <c r="A21" s="382" t="s">
        <v>84</v>
      </c>
      <c r="B21" s="391"/>
      <c r="C21" s="370">
        <v>55000000</v>
      </c>
      <c r="D21" s="384"/>
      <c r="E21" s="371"/>
      <c r="F21" s="371">
        <f>SUM(F15:F17)-F12</f>
        <v>14700000.020000026</v>
      </c>
      <c r="I21" s="394"/>
      <c r="L21" s="385"/>
      <c r="M21" s="386"/>
      <c r="O21" s="385"/>
    </row>
    <row r="22" spans="1:15" x14ac:dyDescent="0.25">
      <c r="A22" s="382"/>
      <c r="B22" s="391"/>
      <c r="C22" s="370"/>
      <c r="D22" s="384"/>
      <c r="E22" s="371"/>
      <c r="F22" s="371"/>
      <c r="I22" s="394"/>
      <c r="L22" s="385"/>
      <c r="M22" s="386"/>
      <c r="O22" s="385"/>
    </row>
    <row r="23" spans="1:15" ht="13.8" thickBot="1" x14ac:dyDescent="0.3">
      <c r="B23" s="397"/>
      <c r="C23" s="398"/>
      <c r="D23" s="398"/>
      <c r="E23" s="399"/>
      <c r="F23" s="399">
        <f>F21</f>
        <v>14700000.020000026</v>
      </c>
      <c r="G23" s="398"/>
      <c r="H23" s="398"/>
      <c r="I23" s="400"/>
      <c r="L23" s="385"/>
      <c r="M23" s="386"/>
      <c r="O23" s="385"/>
    </row>
    <row r="24" spans="1:15" ht="13.8" thickBot="1" x14ac:dyDescent="0.3">
      <c r="B24" s="391"/>
      <c r="F24" s="393">
        <f>+F23/F25</f>
        <v>0.10524224369488644</v>
      </c>
      <c r="I24" s="394"/>
      <c r="L24" s="385"/>
      <c r="M24" s="386"/>
      <c r="O24" s="385"/>
    </row>
    <row r="25" spans="1:15" ht="13.8" thickBot="1" x14ac:dyDescent="0.3">
      <c r="A25" s="401" t="s">
        <v>87</v>
      </c>
      <c r="B25" s="402"/>
      <c r="C25" s="403"/>
      <c r="D25" s="403"/>
      <c r="E25" s="410">
        <f>+E12+F21</f>
        <v>140400000.02000004</v>
      </c>
      <c r="F25" s="404">
        <f>+F12+F23</f>
        <v>139677752.05000001</v>
      </c>
      <c r="G25" s="403"/>
      <c r="H25" s="403"/>
      <c r="I25" s="405"/>
      <c r="L25" s="385"/>
      <c r="M25" s="386"/>
      <c r="O25" s="385"/>
    </row>
    <row r="26" spans="1:15" ht="13.8" thickTop="1" x14ac:dyDescent="0.25">
      <c r="B26" s="391"/>
      <c r="I26" s="394"/>
      <c r="L26" s="385"/>
      <c r="M26" s="386"/>
      <c r="O26" s="385"/>
    </row>
    <row r="27" spans="1:15" ht="13.8" thickBot="1" x14ac:dyDescent="0.3">
      <c r="B27" s="406"/>
      <c r="C27" s="407"/>
      <c r="D27" s="407"/>
      <c r="E27" s="407"/>
      <c r="F27" s="407"/>
      <c r="G27" s="407"/>
      <c r="H27" s="407"/>
      <c r="I27" s="408"/>
      <c r="M27" s="385"/>
    </row>
    <row r="28" spans="1:15" x14ac:dyDescent="0.25">
      <c r="M28" s="385"/>
    </row>
    <row r="29" spans="1:15" x14ac:dyDescent="0.25">
      <c r="A29" s="376" t="s">
        <v>88</v>
      </c>
      <c r="B29" s="372"/>
      <c r="E29" s="392">
        <f>F12</f>
        <v>124977752.02999999</v>
      </c>
      <c r="F29" s="373">
        <f>+E29/E29+E30</f>
        <v>1</v>
      </c>
      <c r="H29" s="409"/>
    </row>
    <row r="30" spans="1:15" x14ac:dyDescent="0.25">
      <c r="A30" s="376" t="s">
        <v>89</v>
      </c>
      <c r="B30" s="372"/>
      <c r="E30" s="392">
        <v>0</v>
      </c>
    </row>
    <row r="31" spans="1:15" x14ac:dyDescent="0.25">
      <c r="B31" s="374"/>
    </row>
    <row r="32" spans="1:15" x14ac:dyDescent="0.25">
      <c r="A32" s="376" t="s">
        <v>267</v>
      </c>
      <c r="B32" s="375">
        <f>+F13</f>
        <v>0.89475775630511356</v>
      </c>
      <c r="C32" s="376" t="s">
        <v>90</v>
      </c>
    </row>
    <row r="33" spans="1:2" x14ac:dyDescent="0.25">
      <c r="B33" s="374"/>
    </row>
    <row r="34" spans="1:2" x14ac:dyDescent="0.25">
      <c r="A34" s="376" t="s">
        <v>91</v>
      </c>
    </row>
    <row r="35" spans="1:2" x14ac:dyDescent="0.25">
      <c r="B35" s="374"/>
    </row>
  </sheetData>
  <mergeCells count="2">
    <mergeCell ref="B3:I3"/>
    <mergeCell ref="G14:I14"/>
  </mergeCells>
  <pageMargins left="0.70866141732283472" right="0.70866141732283472" top="0.74803149606299213" bottom="0.74803149606299213" header="0.31496062992125984" footer="0.31496062992125984"/>
  <pageSetup scale="47" orientation="landscape" r:id="rId1"/>
  <headerFooter>
    <oddFooter>&amp;L&amp;Z
&amp;F&amp;C&amp;A&amp;R&amp;D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5DEAD-DA05-41FC-98A6-72084C593040}">
  <sheetPr>
    <pageSetUpPr fitToPage="1"/>
  </sheetPr>
  <dimension ref="A1:AH258"/>
  <sheetViews>
    <sheetView showGridLines="0" zoomScale="116" zoomScaleNormal="116" workbookViewId="0">
      <pane ySplit="5" topLeftCell="A6" activePane="bottomLeft" state="frozen"/>
      <selection pane="bottomLeft" activeCell="E12" sqref="E12"/>
    </sheetView>
  </sheetViews>
  <sheetFormatPr baseColWidth="10" defaultColWidth="9.109375" defaultRowHeight="13.2" x14ac:dyDescent="0.25"/>
  <cols>
    <col min="1" max="1" width="1.6640625" style="37" customWidth="1"/>
    <col min="2" max="2" width="16.6640625" style="39" customWidth="1"/>
    <col min="3" max="3" width="11.109375" style="39" customWidth="1"/>
    <col min="4" max="4" width="1.6640625" style="39" customWidth="1"/>
    <col min="5" max="6" width="19.33203125" style="39" customWidth="1"/>
    <col min="7" max="7" width="18.6640625" style="39" bestFit="1" customWidth="1"/>
    <col min="8" max="8" width="15.88671875" style="83" customWidth="1"/>
    <col min="9" max="10" width="15.44140625" style="39" customWidth="1"/>
    <col min="11" max="11" width="1.6640625" style="39" customWidth="1"/>
    <col min="12" max="12" width="14" style="39" bestFit="1" customWidth="1"/>
    <col min="13" max="13" width="14.21875" style="39" customWidth="1"/>
    <col min="14" max="14" width="13.6640625" style="39" customWidth="1"/>
    <col min="15" max="15" width="14.88671875" style="39" customWidth="1"/>
    <col min="16" max="16" width="1.6640625" style="39" customWidth="1"/>
    <col min="17" max="17" width="16.109375" style="39" bestFit="1" customWidth="1"/>
    <col min="18" max="18" width="15" style="39" bestFit="1" customWidth="1"/>
    <col min="19" max="20" width="16.109375" style="39" bestFit="1" customWidth="1"/>
    <col min="21" max="21" width="1.6640625" style="39" customWidth="1"/>
    <col min="22" max="22" width="20" style="83" customWidth="1"/>
    <col min="23" max="23" width="1.6640625" style="39" customWidth="1"/>
    <col min="24" max="24" width="12.109375" style="39" bestFit="1" customWidth="1"/>
    <col min="25" max="25" width="9.109375" style="39"/>
    <col min="26" max="27" width="18.77734375" style="39" customWidth="1"/>
    <col min="28" max="28" width="17.77734375" style="39" customWidth="1"/>
    <col min="29" max="29" width="11.44140625" style="39" bestFit="1" customWidth="1"/>
    <col min="30" max="30" width="9.109375" style="39"/>
    <col min="31" max="31" width="10.6640625" style="39" customWidth="1"/>
    <col min="32" max="32" width="10.88671875" style="39" customWidth="1"/>
    <col min="33" max="33" width="15.109375" style="39" customWidth="1"/>
    <col min="34" max="34" width="9.109375" style="39"/>
    <col min="35" max="35" width="11" style="39" bestFit="1" customWidth="1"/>
    <col min="36" max="16384" width="9.109375" style="39"/>
  </cols>
  <sheetData>
    <row r="1" spans="1:29" x14ac:dyDescent="0.25">
      <c r="B1" s="59"/>
      <c r="C1" s="44"/>
      <c r="E1" s="181"/>
      <c r="F1" s="181"/>
      <c r="G1" s="181" t="s">
        <v>268</v>
      </c>
      <c r="H1" s="182"/>
      <c r="I1" s="183"/>
      <c r="J1" s="183"/>
      <c r="K1" s="182"/>
      <c r="L1" s="182"/>
      <c r="M1" s="182"/>
      <c r="N1" s="182"/>
      <c r="O1" s="182"/>
      <c r="P1" s="182"/>
      <c r="Q1" s="182"/>
      <c r="R1" s="184"/>
      <c r="S1" s="185"/>
      <c r="T1" s="185"/>
      <c r="U1" s="163"/>
      <c r="V1" s="193"/>
      <c r="W1" s="163"/>
    </row>
    <row r="2" spans="1:29" x14ac:dyDescent="0.25">
      <c r="B2" s="59"/>
      <c r="C2" s="44"/>
      <c r="F2" s="63"/>
      <c r="G2" s="63"/>
      <c r="H2" s="39"/>
      <c r="I2" s="70"/>
      <c r="J2" s="70"/>
      <c r="R2" s="71"/>
      <c r="S2" s="70"/>
      <c r="T2" s="70"/>
      <c r="V2" s="194"/>
    </row>
    <row r="3" spans="1:29" s="36" customFormat="1" ht="45" customHeight="1" x14ac:dyDescent="0.25">
      <c r="A3" s="37"/>
      <c r="B3" s="186" t="s">
        <v>133</v>
      </c>
      <c r="C3" s="152"/>
      <c r="E3" s="63"/>
      <c r="F3" s="183"/>
      <c r="G3" s="153" t="s">
        <v>85</v>
      </c>
      <c r="H3" s="187"/>
      <c r="I3" s="153"/>
      <c r="J3" s="172"/>
      <c r="L3" s="153" t="s">
        <v>101</v>
      </c>
      <c r="M3" s="187"/>
      <c r="N3" s="153"/>
      <c r="O3" s="172"/>
      <c r="Q3" s="186" t="s">
        <v>102</v>
      </c>
      <c r="R3" s="187"/>
      <c r="S3" s="154"/>
      <c r="T3" s="171"/>
      <c r="U3" s="78"/>
      <c r="V3" s="188" t="s">
        <v>115</v>
      </c>
      <c r="X3" s="188" t="s">
        <v>227</v>
      </c>
      <c r="Y3" s="188"/>
      <c r="Z3" s="188"/>
      <c r="AA3" s="188"/>
      <c r="AB3" s="188"/>
      <c r="AC3" s="188"/>
    </row>
    <row r="4" spans="1:29" ht="7.2" customHeight="1" x14ac:dyDescent="0.25">
      <c r="A4" s="36"/>
      <c r="C4" s="204">
        <v>300</v>
      </c>
      <c r="E4" s="52"/>
      <c r="F4" s="52"/>
      <c r="G4" s="52"/>
      <c r="H4" s="39"/>
      <c r="K4" s="52"/>
      <c r="L4" s="52"/>
      <c r="P4" s="52"/>
      <c r="Q4" s="52"/>
      <c r="R4" s="52"/>
      <c r="U4" s="52"/>
      <c r="W4" s="52"/>
    </row>
    <row r="5" spans="1:29" s="83" customFormat="1" ht="26.4" x14ac:dyDescent="0.25">
      <c r="A5" s="80"/>
      <c r="B5" s="81" t="s">
        <v>45</v>
      </c>
      <c r="C5" s="81" t="s">
        <v>46</v>
      </c>
      <c r="E5" s="82" t="s">
        <v>116</v>
      </c>
      <c r="F5" s="82" t="s">
        <v>132</v>
      </c>
      <c r="G5" s="82" t="s">
        <v>49</v>
      </c>
      <c r="H5" s="82" t="s">
        <v>96</v>
      </c>
      <c r="I5" s="82" t="s">
        <v>51</v>
      </c>
      <c r="J5" s="82" t="s">
        <v>59</v>
      </c>
      <c r="K5" s="84"/>
      <c r="L5" s="82" t="s">
        <v>49</v>
      </c>
      <c r="M5" s="82" t="s">
        <v>96</v>
      </c>
      <c r="N5" s="82" t="s">
        <v>51</v>
      </c>
      <c r="O5" s="82" t="s">
        <v>59</v>
      </c>
      <c r="P5" s="84"/>
      <c r="Q5" s="82" t="s">
        <v>49</v>
      </c>
      <c r="R5" s="82" t="s">
        <v>96</v>
      </c>
      <c r="S5" s="82" t="s">
        <v>51</v>
      </c>
      <c r="T5" s="82" t="s">
        <v>59</v>
      </c>
      <c r="U5" s="84"/>
      <c r="V5" s="82" t="s">
        <v>55</v>
      </c>
      <c r="W5" s="84"/>
      <c r="X5" s="81" t="s">
        <v>45</v>
      </c>
      <c r="Y5" s="81" t="s">
        <v>46</v>
      </c>
      <c r="Z5" s="82" t="s">
        <v>219</v>
      </c>
      <c r="AA5" s="82" t="s">
        <v>245</v>
      </c>
      <c r="AB5" s="82" t="s">
        <v>220</v>
      </c>
      <c r="AC5" s="82" t="s">
        <v>59</v>
      </c>
    </row>
    <row r="6" spans="1:29" x14ac:dyDescent="0.25">
      <c r="A6" s="85"/>
      <c r="B6" s="205">
        <v>45504</v>
      </c>
      <c r="C6" s="87"/>
      <c r="E6" s="90"/>
      <c r="F6" s="92"/>
      <c r="G6" s="270">
        <v>90000000</v>
      </c>
      <c r="H6" s="92"/>
      <c r="I6" s="93"/>
      <c r="J6" s="93"/>
      <c r="K6" s="52"/>
      <c r="L6" s="92"/>
      <c r="M6" s="92"/>
      <c r="N6" s="93"/>
      <c r="O6" s="93"/>
      <c r="P6" s="52"/>
      <c r="Q6" s="200">
        <v>42500000</v>
      </c>
      <c r="R6" s="196"/>
      <c r="S6" s="196"/>
      <c r="T6" s="196"/>
      <c r="U6" s="94"/>
      <c r="V6" s="196"/>
      <c r="W6" s="52"/>
      <c r="X6" s="257"/>
      <c r="Y6" s="196"/>
      <c r="Z6" s="196"/>
      <c r="AA6" s="196"/>
      <c r="AB6" s="196"/>
      <c r="AC6" s="196"/>
    </row>
    <row r="7" spans="1:29" x14ac:dyDescent="0.25">
      <c r="A7" s="96"/>
      <c r="B7" s="205">
        <v>45534</v>
      </c>
      <c r="C7" s="97">
        <f>B7-B6</f>
        <v>30</v>
      </c>
      <c r="E7" s="190">
        <v>4.5465774666666701E-2</v>
      </c>
      <c r="F7" s="191">
        <v>2.2954700000000001E-2</v>
      </c>
      <c r="G7" s="198">
        <f>G6-H7</f>
        <v>89876844.299999997</v>
      </c>
      <c r="H7" s="199">
        <f>'BNC-A'!I17-'TD-A'!J17</f>
        <v>123155.70000000298</v>
      </c>
      <c r="I7" s="198">
        <f>(G6*(E7+F7)*C7/365)</f>
        <v>506124.05917808251</v>
      </c>
      <c r="J7" s="229">
        <f>I7+H7</f>
        <v>629279.75917808549</v>
      </c>
      <c r="K7" s="101"/>
      <c r="L7" s="92"/>
      <c r="M7" s="92"/>
      <c r="N7" s="93"/>
      <c r="O7" s="93"/>
      <c r="P7" s="101"/>
      <c r="Q7" s="195">
        <f>Q6-R7</f>
        <v>41000000</v>
      </c>
      <c r="R7" s="195">
        <v>1500000</v>
      </c>
      <c r="S7" s="197">
        <f>(Q6*(E7+F7)*C7/365)</f>
        <v>239003.0279452056</v>
      </c>
      <c r="T7" s="230">
        <f>R7+S7</f>
        <v>1739003.0279452056</v>
      </c>
      <c r="U7" s="101"/>
      <c r="V7" s="192">
        <f>J7+O7+T7</f>
        <v>2368282.7871232908</v>
      </c>
      <c r="W7" s="102"/>
      <c r="X7" s="257"/>
      <c r="Y7" s="196"/>
      <c r="Z7" s="196"/>
      <c r="AA7" s="196"/>
      <c r="AB7" s="196"/>
      <c r="AC7" s="196"/>
    </row>
    <row r="8" spans="1:29" x14ac:dyDescent="0.25">
      <c r="A8" s="96"/>
      <c r="B8" s="205">
        <v>45561</v>
      </c>
      <c r="C8" s="97">
        <f>B8-B7</f>
        <v>27</v>
      </c>
      <c r="E8" s="190">
        <v>4.4132892299999997E-2</v>
      </c>
      <c r="F8" s="191">
        <v>2.2954700000000001E-2</v>
      </c>
      <c r="G8" s="198">
        <f t="shared" ref="G8:G66" si="0">G7-H8</f>
        <v>89729562.120000005</v>
      </c>
      <c r="H8" s="199">
        <f>'BNC-A'!I18-'TD-A'!J18+'BMO-A'!H10</f>
        <v>147282.17999999784</v>
      </c>
      <c r="I8" s="198">
        <f>(G7*(E8+F8)*C8/365)</f>
        <v>446026.76538477367</v>
      </c>
      <c r="J8" s="229">
        <f t="shared" ref="J8:J71" si="1">I8+H8</f>
        <v>593308.94538477156</v>
      </c>
      <c r="K8" s="101"/>
      <c r="L8" s="92"/>
      <c r="M8" s="92"/>
      <c r="N8" s="93"/>
      <c r="O8" s="93"/>
      <c r="P8" s="101"/>
      <c r="Q8" s="195">
        <f>Q7-R8</f>
        <v>41000000</v>
      </c>
      <c r="R8" s="195">
        <v>0</v>
      </c>
      <c r="S8" s="197">
        <f t="shared" ref="S8:S38" si="2">(Q7*(E8+F8)*C8/365)</f>
        <v>203468.39637287671</v>
      </c>
      <c r="T8" s="230">
        <f>R8+S8</f>
        <v>203468.39637287671</v>
      </c>
      <c r="U8" s="101"/>
      <c r="V8" s="192">
        <f t="shared" ref="V8:V71" si="3">J8+O8+T8</f>
        <v>796777.34175764828</v>
      </c>
      <c r="W8" s="102"/>
      <c r="X8" s="209">
        <v>45565</v>
      </c>
      <c r="Y8" s="97">
        <f t="shared" ref="Y8:Y39" si="4">X8-B8+1</f>
        <v>5</v>
      </c>
      <c r="Z8" s="198">
        <f>(G7*(E8+F8)*Y8/365)</f>
        <v>82597.549145328463</v>
      </c>
      <c r="AA8" s="198">
        <f>(L7*(E8+F8)*Y8/365)</f>
        <v>0</v>
      </c>
      <c r="AB8" s="198">
        <f>(Q7*(E8+F8)*Y8/365)</f>
        <v>37679.332661643835</v>
      </c>
      <c r="AC8" s="270">
        <f>Z8+AA8+AB8</f>
        <v>120276.88180697229</v>
      </c>
    </row>
    <row r="9" spans="1:29" x14ac:dyDescent="0.25">
      <c r="A9" s="96"/>
      <c r="B9" s="205">
        <v>45593</v>
      </c>
      <c r="C9" s="97">
        <f t="shared" ref="C9:C72" si="5">B9-B8</f>
        <v>32</v>
      </c>
      <c r="E9" s="190">
        <v>4.3069007499999999E-2</v>
      </c>
      <c r="F9" s="191">
        <v>2.2954700000000001E-2</v>
      </c>
      <c r="G9" s="198">
        <f t="shared" si="0"/>
        <v>89587896.050000012</v>
      </c>
      <c r="H9" s="199">
        <f>'BNC-A'!I19-'TD-A'!J19+'BMO-A'!H11</f>
        <v>141666.0700000003</v>
      </c>
      <c r="I9" s="198">
        <f t="shared" ref="I9:I38" si="6">(G8*(E9+F9)*C9/365)</f>
        <v>519388.78803410067</v>
      </c>
      <c r="J9" s="229">
        <f t="shared" si="1"/>
        <v>661054.85803410097</v>
      </c>
      <c r="K9" s="101"/>
      <c r="L9" s="92"/>
      <c r="M9" s="92"/>
      <c r="N9" s="93"/>
      <c r="O9" s="93"/>
      <c r="P9" s="101"/>
      <c r="Q9" s="195">
        <f t="shared" ref="Q9:Q66" si="7">Q8-R9</f>
        <v>41000000</v>
      </c>
      <c r="R9" s="195">
        <v>0</v>
      </c>
      <c r="S9" s="197">
        <f t="shared" si="2"/>
        <v>237323.57326027396</v>
      </c>
      <c r="T9" s="230">
        <f t="shared" ref="T9:T66" si="8">R9+S9</f>
        <v>237323.57326027396</v>
      </c>
      <c r="U9" s="101"/>
      <c r="V9" s="192">
        <f>J9+O9+T9</f>
        <v>898378.43129437487</v>
      </c>
      <c r="W9" s="102"/>
      <c r="X9" s="209">
        <v>45596</v>
      </c>
      <c r="Y9" s="97">
        <f t="shared" si="4"/>
        <v>4</v>
      </c>
      <c r="Z9" s="198">
        <f>(G8*(E9+F9)*Y9/365)</f>
        <v>64923.598504262583</v>
      </c>
      <c r="AA9" s="198">
        <f>(L8*(E9+F9)*Y9/365)</f>
        <v>0</v>
      </c>
      <c r="AB9" s="198">
        <f>(Q8*(E9+F9)*Y9/365)</f>
        <v>29665.446657534245</v>
      </c>
      <c r="AC9" s="270">
        <f t="shared" ref="AC9:AC72" si="9">Z9+AA9+AB9</f>
        <v>94589.045161796821</v>
      </c>
    </row>
    <row r="10" spans="1:29" x14ac:dyDescent="0.25">
      <c r="A10" s="103"/>
      <c r="B10" s="205">
        <v>45622</v>
      </c>
      <c r="C10" s="97">
        <f t="shared" si="5"/>
        <v>29</v>
      </c>
      <c r="E10" s="190">
        <v>3.8634388999999998E-2</v>
      </c>
      <c r="F10" s="191">
        <v>2.2954700000000001E-2</v>
      </c>
      <c r="G10" s="198">
        <f t="shared" si="0"/>
        <v>89426935.910000011</v>
      </c>
      <c r="H10" s="199">
        <f>'BNC-A'!I20-'TD-A'!J20+'BMO-A'!H12-0.02</f>
        <v>160960.1399999983</v>
      </c>
      <c r="I10" s="198">
        <f t="shared" si="6"/>
        <v>438387.58956504049</v>
      </c>
      <c r="J10" s="229">
        <f t="shared" si="1"/>
        <v>599347.72956503881</v>
      </c>
      <c r="K10" s="101"/>
      <c r="L10" s="270">
        <v>11400000</v>
      </c>
      <c r="M10" s="92"/>
      <c r="N10" s="93"/>
      <c r="O10" s="93"/>
      <c r="P10" s="101"/>
      <c r="Q10" s="195">
        <f t="shared" si="7"/>
        <v>41000000</v>
      </c>
      <c r="R10" s="195">
        <v>0</v>
      </c>
      <c r="S10" s="197">
        <f>(Q9*(E10+F10)*C10/365)</f>
        <v>200628.56663287673</v>
      </c>
      <c r="T10" s="230">
        <f t="shared" si="8"/>
        <v>200628.56663287673</v>
      </c>
      <c r="U10" s="101"/>
      <c r="V10" s="192">
        <f t="shared" si="3"/>
        <v>799976.29619791557</v>
      </c>
      <c r="W10" s="102"/>
      <c r="X10" s="209">
        <v>45626</v>
      </c>
      <c r="Y10" s="97">
        <f t="shared" si="4"/>
        <v>5</v>
      </c>
      <c r="Z10" s="198">
        <f>(G9*(E10+F10)*Y10/365)</f>
        <v>75584.067166386289</v>
      </c>
      <c r="AA10" s="198">
        <f>(L10*(E10+F10)*Y10/365)</f>
        <v>9618.0221178082193</v>
      </c>
      <c r="AB10" s="198">
        <f>(Q9*(E10+F10)*Y10/365)</f>
        <v>34591.132178082196</v>
      </c>
      <c r="AC10" s="270">
        <f t="shared" si="9"/>
        <v>119793.22146227671</v>
      </c>
    </row>
    <row r="11" spans="1:29" x14ac:dyDescent="0.25">
      <c r="A11" s="104"/>
      <c r="B11" s="205">
        <v>45653</v>
      </c>
      <c r="C11" s="97">
        <f t="shared" si="5"/>
        <v>31</v>
      </c>
      <c r="E11" s="190">
        <v>3.6627493999999997E-2</v>
      </c>
      <c r="F11" s="191">
        <v>2.2954700000000001E-2</v>
      </c>
      <c r="G11" s="198">
        <f t="shared" si="0"/>
        <v>89277752.050000012</v>
      </c>
      <c r="H11" s="199">
        <f>'BNC-A'!I21-'TD-A'!J21+'BMO-A'!H13</f>
        <v>149183.86000000127</v>
      </c>
      <c r="I11" s="198">
        <f>(G10*(E11+F11)*C11/365)</f>
        <v>452536.55991964601</v>
      </c>
      <c r="J11" s="229">
        <f t="shared" si="1"/>
        <v>601720.41991964728</v>
      </c>
      <c r="K11" s="101"/>
      <c r="L11" s="270">
        <v>11400000</v>
      </c>
      <c r="M11" s="92"/>
      <c r="N11" s="318">
        <f>(L10*(E11+F11)*C11/365)</f>
        <v>57688.622903013696</v>
      </c>
      <c r="O11" s="319">
        <f>N11+M11</f>
        <v>57688.622903013696</v>
      </c>
      <c r="P11" s="101"/>
      <c r="Q11" s="195">
        <f t="shared" si="7"/>
        <v>39000000</v>
      </c>
      <c r="R11" s="195">
        <v>2000000</v>
      </c>
      <c r="S11" s="197">
        <f>(Q10*(E11+F11)*C11/365)</f>
        <v>207476.62623013699</v>
      </c>
      <c r="T11" s="230">
        <f t="shared" si="8"/>
        <v>2207476.626230137</v>
      </c>
      <c r="U11" s="101"/>
      <c r="V11" s="192">
        <f t="shared" si="3"/>
        <v>2866885.6690527978</v>
      </c>
      <c r="W11" s="102"/>
      <c r="X11" s="209">
        <v>45657</v>
      </c>
      <c r="Y11" s="97">
        <f t="shared" si="4"/>
        <v>5</v>
      </c>
      <c r="Z11" s="198">
        <f>(G10*(E11+F11)*Y11/365)</f>
        <v>72989.767728975174</v>
      </c>
      <c r="AA11" s="198">
        <f>(L10*(E11+F11)*Y11/365)</f>
        <v>9304.6165972602739</v>
      </c>
      <c r="AB11" s="198">
        <f>(Q10*(E11+F11)*Y11/365)</f>
        <v>33463.97197260274</v>
      </c>
      <c r="AC11" s="270">
        <f t="shared" si="9"/>
        <v>115758.35629883819</v>
      </c>
    </row>
    <row r="12" spans="1:29" x14ac:dyDescent="0.25">
      <c r="A12" s="105"/>
      <c r="B12" s="205">
        <v>45684</v>
      </c>
      <c r="C12" s="97">
        <f t="shared" si="5"/>
        <v>31</v>
      </c>
      <c r="E12" s="190">
        <v>3.3065889000000001E-2</v>
      </c>
      <c r="F12" s="191">
        <v>2.2954700000000001E-2</v>
      </c>
      <c r="G12" s="198">
        <f t="shared" si="0"/>
        <v>89127937.120000005</v>
      </c>
      <c r="H12" s="199">
        <f>'BNC-A'!I22-'TD-A'!J22+'BMO-A'!H14</f>
        <v>149814.93000000343</v>
      </c>
      <c r="I12" s="198">
        <f t="shared" si="6"/>
        <v>424775.78051382385</v>
      </c>
      <c r="J12" s="229">
        <f>I12+H12</f>
        <v>574590.71051382727</v>
      </c>
      <c r="K12" s="101"/>
      <c r="L12" s="198">
        <f>L10-M12</f>
        <v>11389285.26</v>
      </c>
      <c r="M12" s="199">
        <f>'BNC-B'!F18-'TD-B'!J17+'BMO-B'!H10</f>
        <v>10714.74</v>
      </c>
      <c r="N12" s="198">
        <f>(L12*(E12+F12+0.0000527)*C12/365)</f>
        <v>54240.206028794586</v>
      </c>
      <c r="O12" s="229">
        <f>N12+M12</f>
        <v>64954.946028794584</v>
      </c>
      <c r="P12" s="101"/>
      <c r="Q12" s="195">
        <f t="shared" si="7"/>
        <v>39000000</v>
      </c>
      <c r="R12" s="195">
        <v>0</v>
      </c>
      <c r="S12" s="197">
        <f>(Q11*(E12+F12)*C12/365)</f>
        <v>185558.6084958904</v>
      </c>
      <c r="T12" s="230">
        <f t="shared" si="8"/>
        <v>185558.6084958904</v>
      </c>
      <c r="U12" s="101"/>
      <c r="V12" s="192">
        <f t="shared" si="3"/>
        <v>825104.2650385123</v>
      </c>
      <c r="W12" s="102"/>
      <c r="X12" s="209">
        <v>45688</v>
      </c>
      <c r="Y12" s="97">
        <f t="shared" si="4"/>
        <v>5</v>
      </c>
      <c r="Z12" s="198">
        <f t="shared" ref="Z12:Z14" si="10">(G11*(E12+F12)*Y12/365)</f>
        <v>68512.222663519977</v>
      </c>
      <c r="AA12" s="198">
        <f>(L12*(E12+F12)*Y12/365)</f>
        <v>8740.1981993728514</v>
      </c>
      <c r="AB12" s="198">
        <f t="shared" ref="AB12:AB14" si="11">(Q11*(E12+F12)*Y12/365)</f>
        <v>29928.80782191781</v>
      </c>
      <c r="AC12" s="270">
        <f t="shared" si="9"/>
        <v>107181.22868481065</v>
      </c>
    </row>
    <row r="13" spans="1:29" x14ac:dyDescent="0.25">
      <c r="A13" s="105"/>
      <c r="B13" s="205">
        <v>45714</v>
      </c>
      <c r="C13" s="97">
        <f t="shared" si="5"/>
        <v>30</v>
      </c>
      <c r="E13" s="189">
        <f>AVERAGE(CORRA!C182:C211)/100</f>
        <v>3.0750366666666671E-2</v>
      </c>
      <c r="F13" s="191">
        <v>2.2954700000000001E-2</v>
      </c>
      <c r="G13" s="198">
        <f t="shared" si="0"/>
        <v>88971291.640000001</v>
      </c>
      <c r="H13" s="199">
        <f>'BNC-A'!I23-'TD-A'!J23+'BMO-A'!H15</f>
        <v>156645.48000000417</v>
      </c>
      <c r="I13" s="198">
        <f t="shared" si="6"/>
        <v>393420.97026510217</v>
      </c>
      <c r="J13" s="229">
        <f t="shared" si="1"/>
        <v>550066.45026510628</v>
      </c>
      <c r="K13" s="101"/>
      <c r="L13" s="198">
        <f t="shared" ref="L13:L44" si="12">L12-M13</f>
        <v>11370383.949999999</v>
      </c>
      <c r="M13" s="199">
        <f>'BNC-B'!F19-'TD-B'!J18+'BMO-B'!H11</f>
        <v>18901.309999999627</v>
      </c>
      <c r="N13" s="198">
        <f t="shared" ref="N13:N43" si="13">(L13*(E13+F13)*C13/365)</f>
        <v>50190.183128247678</v>
      </c>
      <c r="O13" s="229">
        <f t="shared" ref="O13:O76" si="14">N13+M13</f>
        <v>69091.493128247297</v>
      </c>
      <c r="P13" s="101"/>
      <c r="Q13" s="195">
        <f t="shared" si="7"/>
        <v>39000000</v>
      </c>
      <c r="R13" s="195">
        <v>0</v>
      </c>
      <c r="S13" s="197">
        <f t="shared" si="2"/>
        <v>172150.4876712329</v>
      </c>
      <c r="T13" s="230">
        <f t="shared" si="8"/>
        <v>172150.4876712329</v>
      </c>
      <c r="U13" s="101"/>
      <c r="V13" s="192">
        <f t="shared" si="3"/>
        <v>791308.4310645865</v>
      </c>
      <c r="W13" s="102"/>
      <c r="X13" s="209">
        <v>45716</v>
      </c>
      <c r="Y13" s="97">
        <f t="shared" si="4"/>
        <v>3</v>
      </c>
      <c r="Z13" s="198">
        <f t="shared" si="10"/>
        <v>39342.097026510215</v>
      </c>
      <c r="AA13" s="198">
        <f>(L13*(E13+F13)*Y13/365)</f>
        <v>5019.0183128247672</v>
      </c>
      <c r="AB13" s="198">
        <f t="shared" si="11"/>
        <v>17215.048767123291</v>
      </c>
      <c r="AC13" s="270">
        <f t="shared" si="9"/>
        <v>61576.164106458273</v>
      </c>
    </row>
    <row r="14" spans="1:29" x14ac:dyDescent="0.25">
      <c r="A14" s="105"/>
      <c r="B14" s="205">
        <v>45742</v>
      </c>
      <c r="C14" s="97">
        <f t="shared" si="5"/>
        <v>28</v>
      </c>
      <c r="E14" s="189">
        <f>AVERAGE(CORRA!C212:'CORRA'!C239)/100</f>
        <v>2.9333700000000004E-2</v>
      </c>
      <c r="F14" s="191">
        <v>2.2954700000000001E-2</v>
      </c>
      <c r="G14" s="198">
        <f t="shared" si="0"/>
        <v>88801624.469999999</v>
      </c>
      <c r="H14" s="199">
        <f>'BNC-A'!I24-'TD-A'!J24+'BMO-A'!H16</f>
        <v>169667.16999999806</v>
      </c>
      <c r="I14" s="198">
        <f t="shared" si="6"/>
        <v>356878.52493723657</v>
      </c>
      <c r="J14" s="229">
        <f t="shared" si="1"/>
        <v>526545.69493723463</v>
      </c>
      <c r="K14" s="101"/>
      <c r="L14" s="198">
        <f t="shared" si="12"/>
        <v>11349774.91</v>
      </c>
      <c r="M14" s="199">
        <f>'BNC-B'!F20-'TD-B'!J19+'BMO-B'!H12</f>
        <v>20609.039999999812</v>
      </c>
      <c r="N14" s="198">
        <f t="shared" si="13"/>
        <v>45525.819099488312</v>
      </c>
      <c r="O14" s="229">
        <f t="shared" si="14"/>
        <v>66134.859099488123</v>
      </c>
      <c r="P14" s="101"/>
      <c r="Q14" s="195">
        <f t="shared" si="7"/>
        <v>39000000</v>
      </c>
      <c r="R14" s="195">
        <v>0</v>
      </c>
      <c r="S14" s="197">
        <f t="shared" si="2"/>
        <v>156435.43232876714</v>
      </c>
      <c r="T14" s="230">
        <f t="shared" si="8"/>
        <v>156435.43232876714</v>
      </c>
      <c r="U14" s="101"/>
      <c r="V14" s="192">
        <f t="shared" si="3"/>
        <v>749115.98636548989</v>
      </c>
      <c r="W14" s="102"/>
      <c r="X14" s="209">
        <v>45747</v>
      </c>
      <c r="Y14" s="97">
        <f t="shared" si="4"/>
        <v>6</v>
      </c>
      <c r="Z14" s="198">
        <f t="shared" si="10"/>
        <v>76473.969629407831</v>
      </c>
      <c r="AA14" s="198">
        <f>(L14*(E14+F14)*Y14/365)</f>
        <v>9755.5326641760676</v>
      </c>
      <c r="AB14" s="198">
        <f t="shared" si="11"/>
        <v>33521.878356164387</v>
      </c>
      <c r="AC14" s="270">
        <f t="shared" si="9"/>
        <v>119751.38064974829</v>
      </c>
    </row>
    <row r="15" spans="1:29" x14ac:dyDescent="0.25">
      <c r="A15" s="105"/>
      <c r="B15" s="205">
        <v>45775</v>
      </c>
      <c r="C15" s="97">
        <f t="shared" si="5"/>
        <v>33</v>
      </c>
      <c r="E15" s="189">
        <f>AVERAGE(CORRA!C240:'CORRA'!C272)/100</f>
        <v>2.7174609090909095E-2</v>
      </c>
      <c r="F15" s="191">
        <v>2.2954700000000001E-2</v>
      </c>
      <c r="G15" s="198">
        <f t="shared" si="0"/>
        <v>88660140.120000005</v>
      </c>
      <c r="H15" s="199">
        <f>'BNC-A'!I25-'TD-A'!J25+'BMO-A'!H17</f>
        <v>141484.34999999963</v>
      </c>
      <c r="I15" s="198">
        <f t="shared" si="6"/>
        <v>402470.17717106408</v>
      </c>
      <c r="J15" s="229">
        <f t="shared" si="1"/>
        <v>543954.5271710637</v>
      </c>
      <c r="K15" s="101"/>
      <c r="L15" s="198">
        <f t="shared" si="12"/>
        <v>11333134.6</v>
      </c>
      <c r="M15" s="199">
        <f>'BNC-B'!F21-'TD-B'!J20+'BMO-B'!H13</f>
        <v>16640.310000000223</v>
      </c>
      <c r="N15" s="198">
        <f t="shared" si="13"/>
        <v>51364.473539630468</v>
      </c>
      <c r="O15" s="229">
        <f t="shared" si="14"/>
        <v>68004.783539630691</v>
      </c>
      <c r="P15" s="101"/>
      <c r="Q15" s="195">
        <f t="shared" si="7"/>
        <v>39000000</v>
      </c>
      <c r="R15" s="195">
        <v>0</v>
      </c>
      <c r="S15" s="197">
        <f t="shared" si="2"/>
        <v>176757.31726027399</v>
      </c>
      <c r="T15" s="230">
        <f t="shared" si="8"/>
        <v>176757.31726027399</v>
      </c>
      <c r="U15" s="101"/>
      <c r="V15" s="192">
        <f t="shared" si="3"/>
        <v>788716.62797096837</v>
      </c>
      <c r="W15" s="102"/>
      <c r="X15" s="209">
        <v>45777</v>
      </c>
      <c r="Y15" s="97">
        <f t="shared" si="4"/>
        <v>3</v>
      </c>
      <c r="Z15" s="198"/>
      <c r="AA15" s="198"/>
      <c r="AB15" s="198"/>
      <c r="AC15" s="270">
        <f t="shared" si="9"/>
        <v>0</v>
      </c>
    </row>
    <row r="16" spans="1:29" x14ac:dyDescent="0.25">
      <c r="A16" s="105"/>
      <c r="B16" s="205">
        <v>45803</v>
      </c>
      <c r="C16" s="97">
        <f t="shared" si="5"/>
        <v>28</v>
      </c>
      <c r="E16" s="189">
        <f>AVERAGE(CORRA!C273:'CORRA'!C300)/100</f>
        <v>2.5583700000000015E-2</v>
      </c>
      <c r="F16" s="191">
        <v>2.2954700000000001E-2</v>
      </c>
      <c r="G16" s="198">
        <f t="shared" si="0"/>
        <v>88491228.430000007</v>
      </c>
      <c r="H16" s="199">
        <f>'BNC-A'!I26-'TD-A'!J26+'BMO-A'!H18</f>
        <v>168911.68999999762</v>
      </c>
      <c r="I16" s="198">
        <f t="shared" si="6"/>
        <v>330125.47305648512</v>
      </c>
      <c r="J16" s="229">
        <f t="shared" si="1"/>
        <v>499037.16305648274</v>
      </c>
      <c r="K16" s="101"/>
      <c r="L16" s="198">
        <f t="shared" si="12"/>
        <v>11312371.129999999</v>
      </c>
      <c r="M16" s="199">
        <f>'BNC-B'!F22-'TD-B'!J21+'BMO-B'!H14</f>
        <v>20763.47</v>
      </c>
      <c r="N16" s="198">
        <f t="shared" si="13"/>
        <v>42121.54261912049</v>
      </c>
      <c r="O16" s="229">
        <f t="shared" si="14"/>
        <v>62885.012619120491</v>
      </c>
      <c r="P16" s="101"/>
      <c r="Q16" s="195">
        <f t="shared" si="7"/>
        <v>39000000</v>
      </c>
      <c r="R16" s="195">
        <v>0</v>
      </c>
      <c r="S16" s="197">
        <f t="shared" si="2"/>
        <v>145216.25424657538</v>
      </c>
      <c r="T16" s="230">
        <f t="shared" si="8"/>
        <v>145216.25424657538</v>
      </c>
      <c r="U16" s="101"/>
      <c r="V16" s="192">
        <f t="shared" si="3"/>
        <v>707138.42992217862</v>
      </c>
      <c r="W16" s="102"/>
      <c r="X16" s="209">
        <v>45808</v>
      </c>
      <c r="Y16" s="97">
        <f t="shared" si="4"/>
        <v>6</v>
      </c>
      <c r="Z16" s="198"/>
      <c r="AA16" s="198"/>
      <c r="AB16" s="198"/>
      <c r="AC16" s="270">
        <f t="shared" si="9"/>
        <v>0</v>
      </c>
    </row>
    <row r="17" spans="1:29" x14ac:dyDescent="0.25">
      <c r="A17" s="105"/>
      <c r="B17" s="205">
        <v>45834</v>
      </c>
      <c r="C17" s="97">
        <f t="shared" si="5"/>
        <v>31</v>
      </c>
      <c r="E17" s="189">
        <f>AVERAGE(CORRA!C301:'CORRA'!C331)/100</f>
        <v>2.3809506451612915E-2</v>
      </c>
      <c r="F17" s="191">
        <v>2.2954700000000001E-2</v>
      </c>
      <c r="G17" s="198">
        <f t="shared" si="0"/>
        <v>88338085.400000006</v>
      </c>
      <c r="H17" s="199">
        <f>'BNC-A'!I27-'TD-A'!J27+'BMO-A'!H19</f>
        <v>153143.03000000119</v>
      </c>
      <c r="I17" s="198">
        <f t="shared" si="6"/>
        <v>351465.43654569349</v>
      </c>
      <c r="J17" s="229">
        <f t="shared" si="1"/>
        <v>504608.46654569468</v>
      </c>
      <c r="K17" s="101"/>
      <c r="L17" s="198">
        <f t="shared" si="12"/>
        <v>11293944.199999999</v>
      </c>
      <c r="M17" s="199">
        <f>'BNC-B'!F23-'TD-B'!J22+'BMO-B'!H15</f>
        <v>18426.93</v>
      </c>
      <c r="N17" s="198">
        <f t="shared" si="13"/>
        <v>44856.773931166252</v>
      </c>
      <c r="O17" s="229">
        <f t="shared" si="14"/>
        <v>63283.703931166252</v>
      </c>
      <c r="P17" s="101"/>
      <c r="Q17" s="195">
        <f t="shared" si="7"/>
        <v>39000000</v>
      </c>
      <c r="R17" s="195">
        <v>0</v>
      </c>
      <c r="S17" s="197">
        <f t="shared" si="2"/>
        <v>154898.42630136991</v>
      </c>
      <c r="T17" s="230">
        <f t="shared" si="8"/>
        <v>154898.42630136991</v>
      </c>
      <c r="U17" s="101"/>
      <c r="V17" s="192">
        <f t="shared" si="3"/>
        <v>722790.59677823086</v>
      </c>
      <c r="W17" s="102"/>
      <c r="X17" s="209">
        <v>45838</v>
      </c>
      <c r="Y17" s="97">
        <f t="shared" si="4"/>
        <v>5</v>
      </c>
      <c r="Z17" s="198"/>
      <c r="AA17" s="198"/>
      <c r="AB17" s="198"/>
      <c r="AC17" s="270">
        <f t="shared" si="9"/>
        <v>0</v>
      </c>
    </row>
    <row r="18" spans="1:29" x14ac:dyDescent="0.25">
      <c r="A18" s="105"/>
      <c r="B18" s="205">
        <v>45866</v>
      </c>
      <c r="C18" s="97">
        <f t="shared" si="5"/>
        <v>32</v>
      </c>
      <c r="E18" s="189">
        <f>AVERAGE(CORRA!C332:'CORRA'!C363)/100</f>
        <v>2.3083700000000013E-2</v>
      </c>
      <c r="F18" s="191">
        <v>2.2954700000000001E-2</v>
      </c>
      <c r="G18" s="198">
        <f t="shared" si="0"/>
        <v>88190436.700000003</v>
      </c>
      <c r="H18" s="199">
        <f>'BNC-A'!I28-'TD-A'!J28+'BMO-A'!H20</f>
        <v>147648.70000000112</v>
      </c>
      <c r="I18" s="198">
        <f t="shared" si="6"/>
        <v>356554.00424147828</v>
      </c>
      <c r="J18" s="229">
        <f t="shared" si="1"/>
        <v>504202.7042414794</v>
      </c>
      <c r="K18" s="101"/>
      <c r="L18" s="198">
        <f t="shared" si="12"/>
        <v>11276244.699999999</v>
      </c>
      <c r="M18" s="199">
        <f>'BNC-B'!F24-'TD-B'!J23+'BMO-B'!H16</f>
        <v>17699.499999999814</v>
      </c>
      <c r="N18" s="198">
        <f t="shared" si="13"/>
        <v>45513.666980513328</v>
      </c>
      <c r="O18" s="229">
        <f t="shared" si="14"/>
        <v>63213.166980513139</v>
      </c>
      <c r="P18" s="101"/>
      <c r="Q18" s="195">
        <f t="shared" si="7"/>
        <v>39000000</v>
      </c>
      <c r="R18" s="195">
        <v>0</v>
      </c>
      <c r="S18" s="197">
        <f t="shared" si="2"/>
        <v>157413.48821917814</v>
      </c>
      <c r="T18" s="230">
        <f t="shared" si="8"/>
        <v>157413.48821917814</v>
      </c>
      <c r="U18" s="101"/>
      <c r="V18" s="192">
        <f t="shared" si="3"/>
        <v>724829.3594411707</v>
      </c>
      <c r="W18" s="102"/>
      <c r="X18" s="209">
        <v>45869</v>
      </c>
      <c r="Y18" s="97">
        <f t="shared" si="4"/>
        <v>4</v>
      </c>
      <c r="Z18" s="198"/>
      <c r="AA18" s="198"/>
      <c r="AB18" s="198"/>
      <c r="AC18" s="270">
        <f t="shared" si="9"/>
        <v>0</v>
      </c>
    </row>
    <row r="19" spans="1:29" x14ac:dyDescent="0.25">
      <c r="A19" s="105"/>
      <c r="B19" s="205">
        <v>45895</v>
      </c>
      <c r="C19" s="97">
        <f t="shared" si="5"/>
        <v>29</v>
      </c>
      <c r="E19" s="189">
        <f>AVERAGE(CORRA!C364:'CORRA'!C392)/100</f>
        <v>2.3083700000000019E-2</v>
      </c>
      <c r="F19" s="191">
        <v>2.2954700000000001E-2</v>
      </c>
      <c r="G19" s="198">
        <f t="shared" si="0"/>
        <v>88023759.5</v>
      </c>
      <c r="H19" s="199">
        <f>'BNC-A'!I29-'TD-A'!J29+'BMO-A'!H21</f>
        <v>166677.19999999925</v>
      </c>
      <c r="I19" s="198">
        <f t="shared" si="6"/>
        <v>322586.99021399778</v>
      </c>
      <c r="J19" s="229">
        <f t="shared" si="1"/>
        <v>489264.19021399703</v>
      </c>
      <c r="K19" s="101"/>
      <c r="L19" s="198">
        <f t="shared" si="12"/>
        <v>11256048.529999999</v>
      </c>
      <c r="M19" s="199">
        <f>'BNC-B'!F25-'TD-B'!J24+'BMO-B'!H17</f>
        <v>20196.169999999664</v>
      </c>
      <c r="N19" s="198">
        <f t="shared" si="13"/>
        <v>41172.88623195346</v>
      </c>
      <c r="O19" s="229">
        <f t="shared" si="14"/>
        <v>61369.056231953124</v>
      </c>
      <c r="P19" s="101"/>
      <c r="Q19" s="195">
        <f t="shared" si="7"/>
        <v>39000000</v>
      </c>
      <c r="R19" s="195">
        <v>0</v>
      </c>
      <c r="S19" s="197">
        <f t="shared" si="2"/>
        <v>142655.9736986302</v>
      </c>
      <c r="T19" s="230">
        <f t="shared" si="8"/>
        <v>142655.9736986302</v>
      </c>
      <c r="U19" s="101"/>
      <c r="V19" s="192">
        <f t="shared" si="3"/>
        <v>693289.22014458035</v>
      </c>
      <c r="W19" s="102"/>
      <c r="X19" s="209">
        <v>45900</v>
      </c>
      <c r="Y19" s="97">
        <f t="shared" si="4"/>
        <v>6</v>
      </c>
      <c r="Z19" s="198"/>
      <c r="AA19" s="198"/>
      <c r="AB19" s="198"/>
      <c r="AC19" s="270">
        <f t="shared" si="9"/>
        <v>0</v>
      </c>
    </row>
    <row r="20" spans="1:29" x14ac:dyDescent="0.25">
      <c r="A20" s="105"/>
      <c r="B20" s="205">
        <v>45926</v>
      </c>
      <c r="C20" s="97">
        <f t="shared" si="5"/>
        <v>31</v>
      </c>
      <c r="E20" s="189">
        <f>AVERAGE(CORRA!C393:'CORRA'!C423)/100</f>
        <v>2.3083700000000013E-2</v>
      </c>
      <c r="F20" s="191">
        <v>2.2954700000000001E-2</v>
      </c>
      <c r="G20" s="198">
        <f t="shared" si="0"/>
        <v>87868640.170000002</v>
      </c>
      <c r="H20" s="199">
        <f>'BNC-A'!I30-'TD-A'!J30+'BMO-A'!H22</f>
        <v>155119.33000000194</v>
      </c>
      <c r="I20" s="198">
        <f t="shared" si="6"/>
        <v>344182.64254879131</v>
      </c>
      <c r="J20" s="229">
        <f t="shared" si="1"/>
        <v>499301.97254879324</v>
      </c>
      <c r="K20" s="101"/>
      <c r="L20" s="198">
        <f t="shared" si="12"/>
        <v>11237374.789999999</v>
      </c>
      <c r="M20" s="199">
        <f>'BNC-B'!F26-'TD-B'!J25+'BMO-B'!H18</f>
        <v>18673.740000000296</v>
      </c>
      <c r="N20" s="198">
        <f t="shared" si="13"/>
        <v>43939.379236958957</v>
      </c>
      <c r="O20" s="229">
        <f t="shared" si="14"/>
        <v>62613.119236959254</v>
      </c>
      <c r="P20" s="101"/>
      <c r="Q20" s="195">
        <f t="shared" si="7"/>
        <v>39000000</v>
      </c>
      <c r="R20" s="195">
        <v>0</v>
      </c>
      <c r="S20" s="197">
        <f t="shared" si="2"/>
        <v>152494.31671232881</v>
      </c>
      <c r="T20" s="230">
        <f t="shared" si="8"/>
        <v>152494.31671232881</v>
      </c>
      <c r="U20" s="101"/>
      <c r="V20" s="192">
        <f t="shared" si="3"/>
        <v>714409.40849808126</v>
      </c>
      <c r="W20" s="102"/>
      <c r="X20" s="209">
        <v>45930</v>
      </c>
      <c r="Y20" s="97">
        <f t="shared" si="4"/>
        <v>5</v>
      </c>
      <c r="Z20" s="198"/>
      <c r="AA20" s="198"/>
      <c r="AB20" s="198"/>
      <c r="AC20" s="270">
        <f t="shared" si="9"/>
        <v>0</v>
      </c>
    </row>
    <row r="21" spans="1:29" x14ac:dyDescent="0.25">
      <c r="A21" s="105"/>
      <c r="B21" s="205">
        <v>45957</v>
      </c>
      <c r="C21" s="97">
        <f t="shared" si="5"/>
        <v>31</v>
      </c>
      <c r="E21" s="189">
        <f>AVERAGE(CORRA!C424:'CORRA'!C454)/100</f>
        <v>2.3083700000000013E-2</v>
      </c>
      <c r="F21" s="191">
        <v>2.2954700000000001E-2</v>
      </c>
      <c r="G21" s="198">
        <f t="shared" si="0"/>
        <v>87712864.260000005</v>
      </c>
      <c r="H21" s="199">
        <f>'BNC-A'!I31-'TD-A'!J31+'BMO-A'!H23</f>
        <v>155775.91000000015</v>
      </c>
      <c r="I21" s="198">
        <f t="shared" si="6"/>
        <v>343576.10879911896</v>
      </c>
      <c r="J21" s="229">
        <f t="shared" si="1"/>
        <v>499352.01879911911</v>
      </c>
      <c r="K21" s="101"/>
      <c r="L21" s="198">
        <f t="shared" si="12"/>
        <v>11218618.809999999</v>
      </c>
      <c r="M21" s="199">
        <f>'BNC-B'!F27-'TD-B'!J26+'BMO-B'!H19</f>
        <v>18755.980000000334</v>
      </c>
      <c r="N21" s="198">
        <f t="shared" si="13"/>
        <v>43866.04127915459</v>
      </c>
      <c r="O21" s="229">
        <f t="shared" si="14"/>
        <v>62622.021279154927</v>
      </c>
      <c r="P21" s="101"/>
      <c r="Q21" s="195">
        <f t="shared" si="7"/>
        <v>39000000</v>
      </c>
      <c r="R21" s="195">
        <v>0</v>
      </c>
      <c r="S21" s="197">
        <f t="shared" si="2"/>
        <v>152494.31671232881</v>
      </c>
      <c r="T21" s="230">
        <f t="shared" si="8"/>
        <v>152494.31671232881</v>
      </c>
      <c r="U21" s="101"/>
      <c r="V21" s="192">
        <f t="shared" si="3"/>
        <v>714468.35679060279</v>
      </c>
      <c r="W21" s="102"/>
      <c r="X21" s="209">
        <v>45961</v>
      </c>
      <c r="Y21" s="97">
        <f t="shared" si="4"/>
        <v>5</v>
      </c>
      <c r="Z21" s="198"/>
      <c r="AA21" s="198"/>
      <c r="AB21" s="198"/>
      <c r="AC21" s="270">
        <f t="shared" si="9"/>
        <v>0</v>
      </c>
    </row>
    <row r="22" spans="1:29" x14ac:dyDescent="0.25">
      <c r="A22" s="105"/>
      <c r="B22" s="205">
        <v>45987</v>
      </c>
      <c r="C22" s="97">
        <f t="shared" si="5"/>
        <v>30</v>
      </c>
      <c r="E22" s="189">
        <f>AVERAGE(CORRA!C455:'CORRA'!C484)/100</f>
        <v>2.3083700000000019E-2</v>
      </c>
      <c r="F22" s="191">
        <v>2.2954700000000001E-2</v>
      </c>
      <c r="G22" s="198">
        <f t="shared" si="0"/>
        <v>87550332.390000001</v>
      </c>
      <c r="H22" s="199">
        <f>'BNC-A'!I32-'TD-A'!J32+'BMO-A'!H24</f>
        <v>162531.86999999918</v>
      </c>
      <c r="I22" s="198">
        <f t="shared" si="6"/>
        <v>331903.55588610301</v>
      </c>
      <c r="J22" s="229">
        <f t="shared" si="1"/>
        <v>494435.4258861022</v>
      </c>
      <c r="K22" s="101"/>
      <c r="L22" s="198">
        <f t="shared" si="12"/>
        <v>11198979.699999999</v>
      </c>
      <c r="M22" s="199">
        <f>'BNC-B'!F28-'TD-B'!J27+'BMO-B'!H20</f>
        <v>19639.109999999739</v>
      </c>
      <c r="N22" s="198">
        <f t="shared" si="13"/>
        <v>42376.693727710699</v>
      </c>
      <c r="O22" s="229">
        <f t="shared" si="14"/>
        <v>62015.803727710438</v>
      </c>
      <c r="P22" s="101"/>
      <c r="Q22" s="195">
        <f t="shared" si="7"/>
        <v>39000000</v>
      </c>
      <c r="R22" s="195">
        <v>0</v>
      </c>
      <c r="S22" s="197">
        <f t="shared" si="2"/>
        <v>147575.14520547952</v>
      </c>
      <c r="T22" s="230">
        <f t="shared" si="8"/>
        <v>147575.14520547952</v>
      </c>
      <c r="U22" s="101"/>
      <c r="V22" s="192">
        <f t="shared" si="3"/>
        <v>704026.37481929222</v>
      </c>
      <c r="W22" s="102"/>
      <c r="X22" s="209">
        <v>45991</v>
      </c>
      <c r="Y22" s="97">
        <f t="shared" si="4"/>
        <v>5</v>
      </c>
      <c r="Z22" s="198"/>
      <c r="AA22" s="198"/>
      <c r="AB22" s="198"/>
      <c r="AC22" s="270">
        <f t="shared" si="9"/>
        <v>0</v>
      </c>
    </row>
    <row r="23" spans="1:29" x14ac:dyDescent="0.25">
      <c r="A23" s="105"/>
      <c r="B23" s="205">
        <v>46020</v>
      </c>
      <c r="C23" s="97">
        <f t="shared" si="5"/>
        <v>33</v>
      </c>
      <c r="E23" s="189">
        <f>AVERAGE(CORRA!C485:'CORRA'!C517)/100</f>
        <v>2.3083700000000013E-2</v>
      </c>
      <c r="F23" s="191">
        <v>2.2954700000000001E-2</v>
      </c>
      <c r="G23" s="198">
        <f t="shared" si="0"/>
        <v>87405384.390000001</v>
      </c>
      <c r="H23" s="199">
        <f>'BNC-A'!I33-'TD-A'!J33+'BMO-A'!H25</f>
        <v>144948</v>
      </c>
      <c r="I23" s="198">
        <f t="shared" si="6"/>
        <v>364417.39273760183</v>
      </c>
      <c r="J23" s="229">
        <f t="shared" si="1"/>
        <v>509365.39273760183</v>
      </c>
      <c r="K23" s="101"/>
      <c r="L23" s="198">
        <f t="shared" si="12"/>
        <v>11181656.389999999</v>
      </c>
      <c r="M23" s="199">
        <f>'BNC-B'!F29-'TD-B'!J28+'BMO-B'!H21</f>
        <v>17323.309999999627</v>
      </c>
      <c r="N23" s="198">
        <f t="shared" si="13"/>
        <v>46542.256972595649</v>
      </c>
      <c r="O23" s="229">
        <f t="shared" si="14"/>
        <v>63865.566972595276</v>
      </c>
      <c r="P23" s="101"/>
      <c r="Q23" s="195">
        <f t="shared" si="7"/>
        <v>39000000</v>
      </c>
      <c r="R23" s="195">
        <v>0</v>
      </c>
      <c r="S23" s="197">
        <f t="shared" si="2"/>
        <v>162332.65972602746</v>
      </c>
      <c r="T23" s="230">
        <f t="shared" si="8"/>
        <v>162332.65972602746</v>
      </c>
      <c r="U23" s="101"/>
      <c r="V23" s="192">
        <f t="shared" si="3"/>
        <v>735563.61943622446</v>
      </c>
      <c r="W23" s="102"/>
      <c r="X23" s="209">
        <v>46022</v>
      </c>
      <c r="Y23" s="97">
        <f t="shared" si="4"/>
        <v>3</v>
      </c>
      <c r="Z23" s="198"/>
      <c r="AA23" s="198"/>
      <c r="AB23" s="198"/>
      <c r="AC23" s="270">
        <f t="shared" si="9"/>
        <v>0</v>
      </c>
    </row>
    <row r="24" spans="1:29" x14ac:dyDescent="0.25">
      <c r="A24" s="105"/>
      <c r="B24" s="205">
        <v>46048</v>
      </c>
      <c r="C24" s="97">
        <f t="shared" si="5"/>
        <v>28</v>
      </c>
      <c r="E24" s="189">
        <f>AVERAGE(CORRA!C518:'CORRA'!C545)/100</f>
        <v>2.3083700000000023E-2</v>
      </c>
      <c r="F24" s="191">
        <v>2.2954700000000001E-2</v>
      </c>
      <c r="G24" s="198">
        <f t="shared" si="0"/>
        <v>87229415.959999993</v>
      </c>
      <c r="H24" s="199">
        <f>'BNC-A'!I34-'TD-A'!J34+'BMO-A'!H26</f>
        <v>175968.43000000156</v>
      </c>
      <c r="I24" s="198">
        <f t="shared" si="6"/>
        <v>308690.72154415393</v>
      </c>
      <c r="J24" s="229">
        <f t="shared" si="1"/>
        <v>484659.15154415549</v>
      </c>
      <c r="K24" s="101"/>
      <c r="L24" s="198">
        <f t="shared" si="12"/>
        <v>11160258.359999999</v>
      </c>
      <c r="M24" s="199">
        <f>'BNC-B'!F30-'TD-B'!J29+'BMO-B'!H22</f>
        <v>21398.029999999701</v>
      </c>
      <c r="N24" s="198">
        <f t="shared" si="13"/>
        <v>39414.828157448435</v>
      </c>
      <c r="O24" s="229">
        <f t="shared" si="14"/>
        <v>60812.858157448136</v>
      </c>
      <c r="P24" s="101"/>
      <c r="Q24" s="195">
        <f t="shared" si="7"/>
        <v>39000000</v>
      </c>
      <c r="R24" s="195">
        <v>0</v>
      </c>
      <c r="S24" s="197">
        <f t="shared" si="2"/>
        <v>137736.80219178088</v>
      </c>
      <c r="T24" s="230">
        <f t="shared" si="8"/>
        <v>137736.80219178088</v>
      </c>
      <c r="U24" s="101"/>
      <c r="V24" s="192">
        <f t="shared" si="3"/>
        <v>683208.81189338455</v>
      </c>
      <c r="W24" s="102"/>
      <c r="X24" s="209">
        <v>46053</v>
      </c>
      <c r="Y24" s="97">
        <f t="shared" si="4"/>
        <v>6</v>
      </c>
      <c r="Z24" s="198"/>
      <c r="AA24" s="198"/>
      <c r="AB24" s="198"/>
      <c r="AC24" s="270">
        <f t="shared" si="9"/>
        <v>0</v>
      </c>
    </row>
    <row r="25" spans="1:29" x14ac:dyDescent="0.25">
      <c r="A25" s="105"/>
      <c r="B25" s="205">
        <v>46079</v>
      </c>
      <c r="C25" s="97">
        <f t="shared" si="5"/>
        <v>31</v>
      </c>
      <c r="E25" s="189">
        <f>AVERAGE(CORRA!C546:'CORRA'!C576)/100</f>
        <v>2.3083700000000013E-2</v>
      </c>
      <c r="F25" s="191">
        <v>2.2954700000000001E-2</v>
      </c>
      <c r="G25" s="198">
        <f t="shared" si="0"/>
        <v>87070937.129999995</v>
      </c>
      <c r="H25" s="199">
        <f>'BNC-A'!I35-'TD-A'!J35+'BMO-A'!H27</f>
        <v>158478.82999999821</v>
      </c>
      <c r="I25" s="198">
        <f t="shared" si="6"/>
        <v>341076.67138553096</v>
      </c>
      <c r="J25" s="229">
        <f t="shared" si="1"/>
        <v>499555.50138552918</v>
      </c>
      <c r="K25" s="101"/>
      <c r="L25" s="198">
        <f t="shared" si="12"/>
        <v>11141163.899999999</v>
      </c>
      <c r="M25" s="199">
        <f>'BNC-B'!F31-'TD-B'!J30+'BMO-B'!H23</f>
        <v>19094.460000000148</v>
      </c>
      <c r="N25" s="198">
        <f t="shared" si="13"/>
        <v>43563.184007963187</v>
      </c>
      <c r="O25" s="229">
        <f t="shared" si="14"/>
        <v>62657.644007963332</v>
      </c>
      <c r="P25" s="101"/>
      <c r="Q25" s="195">
        <f t="shared" si="7"/>
        <v>39000000</v>
      </c>
      <c r="R25" s="195">
        <v>0</v>
      </c>
      <c r="S25" s="197">
        <f t="shared" si="2"/>
        <v>152494.31671232881</v>
      </c>
      <c r="T25" s="230">
        <f t="shared" si="8"/>
        <v>152494.31671232881</v>
      </c>
      <c r="U25" s="101"/>
      <c r="V25" s="192">
        <f t="shared" si="3"/>
        <v>714707.46210582135</v>
      </c>
      <c r="W25" s="102"/>
      <c r="X25" s="209">
        <v>46081</v>
      </c>
      <c r="Y25" s="97">
        <f t="shared" si="4"/>
        <v>3</v>
      </c>
      <c r="Z25" s="198"/>
      <c r="AA25" s="198"/>
      <c r="AB25" s="198"/>
      <c r="AC25" s="270">
        <f t="shared" si="9"/>
        <v>0</v>
      </c>
    </row>
    <row r="26" spans="1:29" x14ac:dyDescent="0.25">
      <c r="A26" s="105"/>
      <c r="B26" s="205">
        <v>46107</v>
      </c>
      <c r="C26" s="97">
        <f t="shared" si="5"/>
        <v>28</v>
      </c>
      <c r="E26" s="189">
        <f>AVERAGE(CORRA!C577:'CORRA'!C604)/100</f>
        <v>2.3083700000000023E-2</v>
      </c>
      <c r="F26" s="191">
        <v>2.2954700000000001E-2</v>
      </c>
      <c r="G26" s="198">
        <f t="shared" si="0"/>
        <v>86893625.199999988</v>
      </c>
      <c r="H26" s="199">
        <f>'BNC-A'!I36-'TD-A'!J36+'BMO-A'!H28</f>
        <v>177311.93000000156</v>
      </c>
      <c r="I26" s="198">
        <f t="shared" si="6"/>
        <v>307509.54984943074</v>
      </c>
      <c r="J26" s="229">
        <f t="shared" si="1"/>
        <v>484821.4798494323</v>
      </c>
      <c r="K26" s="101"/>
      <c r="L26" s="198">
        <f t="shared" si="12"/>
        <v>11119597.559999999</v>
      </c>
      <c r="M26" s="199">
        <f>'BNC-B'!F32-'TD-B'!J31+'BMO-B'!H24</f>
        <v>21566.340000000262</v>
      </c>
      <c r="N26" s="198">
        <f t="shared" si="13"/>
        <v>39271.225886511005</v>
      </c>
      <c r="O26" s="229">
        <f t="shared" si="14"/>
        <v>60837.565886511264</v>
      </c>
      <c r="P26" s="101"/>
      <c r="Q26" s="195">
        <f t="shared" si="7"/>
        <v>39000000</v>
      </c>
      <c r="R26" s="195">
        <v>0</v>
      </c>
      <c r="S26" s="197">
        <f t="shared" si="2"/>
        <v>137736.80219178088</v>
      </c>
      <c r="T26" s="230">
        <f t="shared" si="8"/>
        <v>137736.80219178088</v>
      </c>
      <c r="U26" s="101"/>
      <c r="V26" s="192">
        <f t="shared" si="3"/>
        <v>683395.84792772448</v>
      </c>
      <c r="W26" s="102"/>
      <c r="X26" s="209">
        <v>46112</v>
      </c>
      <c r="Y26" s="97">
        <f t="shared" si="4"/>
        <v>6</v>
      </c>
      <c r="Z26" s="198"/>
      <c r="AA26" s="198"/>
      <c r="AB26" s="198"/>
      <c r="AC26" s="270">
        <f t="shared" si="9"/>
        <v>0</v>
      </c>
    </row>
    <row r="27" spans="1:29" x14ac:dyDescent="0.25">
      <c r="A27" s="105"/>
      <c r="B27" s="205">
        <v>46139</v>
      </c>
      <c r="C27" s="97">
        <f t="shared" si="5"/>
        <v>32</v>
      </c>
      <c r="E27" s="189">
        <f>AVERAGE(CORRA!C605:'CORRA'!C636)/100</f>
        <v>2.3083700000000013E-2</v>
      </c>
      <c r="F27" s="191">
        <v>2.2954700000000001E-2</v>
      </c>
      <c r="G27" s="198">
        <f t="shared" si="0"/>
        <v>86739765.169999987</v>
      </c>
      <c r="H27" s="199">
        <f>'BNC-A'!I37-'TD-A'!J37+'BMO-A'!H29</f>
        <v>153860.02999999747</v>
      </c>
      <c r="I27" s="198">
        <f t="shared" si="6"/>
        <v>350723.81145491998</v>
      </c>
      <c r="J27" s="229">
        <f t="shared" si="1"/>
        <v>504583.84145491745</v>
      </c>
      <c r="K27" s="101"/>
      <c r="L27" s="198">
        <f t="shared" si="12"/>
        <v>11101118.759999998</v>
      </c>
      <c r="M27" s="199">
        <f>'BNC-B'!F33-'TD-B'!J32+'BMO-B'!H25</f>
        <v>18478.800000000148</v>
      </c>
      <c r="N27" s="198">
        <f t="shared" si="13"/>
        <v>44806.816080691206</v>
      </c>
      <c r="O27" s="229">
        <f t="shared" si="14"/>
        <v>63285.616080691354</v>
      </c>
      <c r="P27" s="101"/>
      <c r="Q27" s="195">
        <f t="shared" si="7"/>
        <v>39000000</v>
      </c>
      <c r="R27" s="195">
        <v>0</v>
      </c>
      <c r="S27" s="197">
        <f t="shared" si="2"/>
        <v>157413.48821917814</v>
      </c>
      <c r="T27" s="230">
        <f t="shared" si="8"/>
        <v>157413.48821917814</v>
      </c>
      <c r="U27" s="101"/>
      <c r="V27" s="192">
        <f t="shared" si="3"/>
        <v>725282.94575478695</v>
      </c>
      <c r="W27" s="102"/>
      <c r="X27" s="209">
        <v>46142</v>
      </c>
      <c r="Y27" s="97">
        <f t="shared" si="4"/>
        <v>4</v>
      </c>
      <c r="Z27" s="198"/>
      <c r="AA27" s="198"/>
      <c r="AB27" s="198"/>
      <c r="AC27" s="270">
        <f t="shared" si="9"/>
        <v>0</v>
      </c>
    </row>
    <row r="28" spans="1:29" x14ac:dyDescent="0.25">
      <c r="A28" s="105"/>
      <c r="B28" s="205">
        <v>46168</v>
      </c>
      <c r="C28" s="97">
        <f t="shared" si="5"/>
        <v>29</v>
      </c>
      <c r="E28" s="189">
        <f>AVERAGE(CORRA!C636:'CORRA'!C665)/100</f>
        <v>2.3083700000000019E-2</v>
      </c>
      <c r="F28" s="191">
        <v>2.2954700000000001E-2</v>
      </c>
      <c r="G28" s="198">
        <f t="shared" si="0"/>
        <v>86567152.639999986</v>
      </c>
      <c r="H28" s="199">
        <f>'BNC-A'!I38-'TD-A'!J38+'BMO-A'!H30</f>
        <v>172612.52999999933</v>
      </c>
      <c r="I28" s="198">
        <f t="shared" si="6"/>
        <v>317280.6579158174</v>
      </c>
      <c r="J28" s="229">
        <f t="shared" si="1"/>
        <v>489893.18791581673</v>
      </c>
      <c r="K28" s="101"/>
      <c r="L28" s="198">
        <f t="shared" si="12"/>
        <v>11080178.539999997</v>
      </c>
      <c r="M28" s="199">
        <f>'BNC-B'!F34-'TD-B'!J33+'BMO-B'!H26</f>
        <v>20940.220000000409</v>
      </c>
      <c r="N28" s="198">
        <f t="shared" si="13"/>
        <v>40529.580984060674</v>
      </c>
      <c r="O28" s="229">
        <f t="shared" si="14"/>
        <v>61469.800984061083</v>
      </c>
      <c r="P28" s="101"/>
      <c r="Q28" s="195">
        <f t="shared" si="7"/>
        <v>39000000</v>
      </c>
      <c r="R28" s="195">
        <v>0</v>
      </c>
      <c r="S28" s="197">
        <f t="shared" si="2"/>
        <v>142655.9736986302</v>
      </c>
      <c r="T28" s="230">
        <f t="shared" si="8"/>
        <v>142655.9736986302</v>
      </c>
      <c r="U28" s="101"/>
      <c r="V28" s="192">
        <f t="shared" si="3"/>
        <v>694018.96259850799</v>
      </c>
      <c r="W28" s="102"/>
      <c r="X28" s="209">
        <v>46173</v>
      </c>
      <c r="Y28" s="97">
        <f t="shared" si="4"/>
        <v>6</v>
      </c>
      <c r="Z28" s="198"/>
      <c r="AA28" s="198"/>
      <c r="AB28" s="198"/>
      <c r="AC28" s="270">
        <f t="shared" si="9"/>
        <v>0</v>
      </c>
    </row>
    <row r="29" spans="1:29" x14ac:dyDescent="0.25">
      <c r="A29" s="105"/>
      <c r="B29" s="205">
        <v>46199</v>
      </c>
      <c r="C29" s="97">
        <f t="shared" si="5"/>
        <v>31</v>
      </c>
      <c r="E29" s="189">
        <f>AVERAGE(CORRA!C666:'CORRA'!C698)/100</f>
        <v>2.3083700000000013E-2</v>
      </c>
      <c r="F29" s="191">
        <v>2.2954700000000001E-2</v>
      </c>
      <c r="G29" s="198">
        <f t="shared" si="0"/>
        <v>86405871.479999989</v>
      </c>
      <c r="H29" s="199">
        <f>'BNC-A'!I39-'TD-A'!J39+'BMO-A'!H31</f>
        <v>161281.16000000015</v>
      </c>
      <c r="I29" s="198">
        <f t="shared" si="6"/>
        <v>338487.14850176073</v>
      </c>
      <c r="J29" s="229">
        <f t="shared" si="1"/>
        <v>499768.30850176088</v>
      </c>
      <c r="K29" s="101"/>
      <c r="L29" s="198">
        <f t="shared" si="12"/>
        <v>11060731.489999996</v>
      </c>
      <c r="M29" s="199">
        <f>'BNC-B'!F35-'TD-B'!J34+'BMO-B'!H27</f>
        <v>19447.050000000298</v>
      </c>
      <c r="N29" s="198">
        <f t="shared" si="13"/>
        <v>43248.684382207386</v>
      </c>
      <c r="O29" s="229">
        <f t="shared" si="14"/>
        <v>62695.73438220768</v>
      </c>
      <c r="P29" s="101"/>
      <c r="Q29" s="195">
        <f t="shared" si="7"/>
        <v>39000000</v>
      </c>
      <c r="R29" s="195">
        <v>0</v>
      </c>
      <c r="S29" s="197">
        <f t="shared" si="2"/>
        <v>152494.31671232881</v>
      </c>
      <c r="T29" s="230">
        <f t="shared" si="8"/>
        <v>152494.31671232881</v>
      </c>
      <c r="U29" s="101"/>
      <c r="V29" s="192">
        <f t="shared" si="3"/>
        <v>714958.35959629738</v>
      </c>
      <c r="W29" s="102"/>
      <c r="X29" s="209">
        <v>46203</v>
      </c>
      <c r="Y29" s="97">
        <f t="shared" si="4"/>
        <v>5</v>
      </c>
      <c r="Z29" s="198"/>
      <c r="AA29" s="198"/>
      <c r="AB29" s="198"/>
      <c r="AC29" s="270">
        <f t="shared" si="9"/>
        <v>0</v>
      </c>
    </row>
    <row r="30" spans="1:29" x14ac:dyDescent="0.25">
      <c r="A30" s="105"/>
      <c r="B30" s="205">
        <v>46230</v>
      </c>
      <c r="C30" s="97">
        <f t="shared" si="5"/>
        <v>31</v>
      </c>
      <c r="E30" s="189">
        <f>AVERAGE(CORRA!C699:'CORRA'!C727)/100</f>
        <v>2.3083700000000019E-2</v>
      </c>
      <c r="F30" s="191">
        <v>2.2954700000000001E-2</v>
      </c>
      <c r="G30" s="198">
        <f t="shared" si="0"/>
        <v>86243908.569999993</v>
      </c>
      <c r="H30" s="199">
        <f>'BNC-A'!I40-'TD-A'!J40+'BMO-A'!H32</f>
        <v>161962.90999999829</v>
      </c>
      <c r="I30" s="198">
        <f t="shared" si="6"/>
        <v>337856.52131476667</v>
      </c>
      <c r="J30" s="229">
        <f t="shared" si="1"/>
        <v>499819.43131476495</v>
      </c>
      <c r="K30" s="101"/>
      <c r="L30" s="198">
        <f t="shared" si="12"/>
        <v>11041199.899999997</v>
      </c>
      <c r="M30" s="199">
        <f>'BNC-B'!F36-'TD-B'!J35+'BMO-B'!H28</f>
        <v>19531.589999999851</v>
      </c>
      <c r="N30" s="198">
        <f t="shared" si="13"/>
        <v>43172.313703454689</v>
      </c>
      <c r="O30" s="229">
        <f t="shared" si="14"/>
        <v>62703.90370345454</v>
      </c>
      <c r="P30" s="101"/>
      <c r="Q30" s="195">
        <f t="shared" si="7"/>
        <v>39000000</v>
      </c>
      <c r="R30" s="195">
        <v>0</v>
      </c>
      <c r="S30" s="197">
        <f t="shared" si="2"/>
        <v>152494.31671232884</v>
      </c>
      <c r="T30" s="230">
        <f t="shared" si="8"/>
        <v>152494.31671232884</v>
      </c>
      <c r="U30" s="101"/>
      <c r="V30" s="192">
        <f t="shared" si="3"/>
        <v>715017.65173054836</v>
      </c>
      <c r="W30" s="102"/>
      <c r="X30" s="209">
        <v>46234</v>
      </c>
      <c r="Y30" s="97">
        <f t="shared" si="4"/>
        <v>5</v>
      </c>
      <c r="Z30" s="198"/>
      <c r="AA30" s="198"/>
      <c r="AB30" s="198"/>
      <c r="AC30" s="270">
        <f t="shared" si="9"/>
        <v>0</v>
      </c>
    </row>
    <row r="31" spans="1:29" x14ac:dyDescent="0.25">
      <c r="A31" s="105"/>
      <c r="B31" s="205">
        <v>46260</v>
      </c>
      <c r="C31" s="97">
        <f t="shared" si="5"/>
        <v>30</v>
      </c>
      <c r="E31" s="189">
        <f>AVERAGE(CORRA!C728:'CORRA'!C757)/100</f>
        <v>2.3083700000000019E-2</v>
      </c>
      <c r="F31" s="191">
        <v>2.2954700000000001E-2</v>
      </c>
      <c r="G31" s="198">
        <f t="shared" si="0"/>
        <v>86075263.349999994</v>
      </c>
      <c r="H31" s="199">
        <f>'BNC-A'!I41-'TD-A'!J41+'BMO-A'!H33</f>
        <v>168645.22000000253</v>
      </c>
      <c r="I31" s="198">
        <f t="shared" si="6"/>
        <v>326345.05975143198</v>
      </c>
      <c r="J31" s="229">
        <f t="shared" si="1"/>
        <v>494990.27975143451</v>
      </c>
      <c r="K31" s="101"/>
      <c r="L31" s="198">
        <f t="shared" si="12"/>
        <v>11020793.579999996</v>
      </c>
      <c r="M31" s="199">
        <f>'BNC-B'!F37-'TD-B'!J36+'BMO-B'!H29</f>
        <v>20406.320000000225</v>
      </c>
      <c r="N31" s="198">
        <f t="shared" si="13"/>
        <v>41702.441355079893</v>
      </c>
      <c r="O31" s="229">
        <f t="shared" si="14"/>
        <v>62108.761355080118</v>
      </c>
      <c r="P31" s="101"/>
      <c r="Q31" s="195">
        <f t="shared" si="7"/>
        <v>39000000</v>
      </c>
      <c r="R31" s="195">
        <v>0</v>
      </c>
      <c r="S31" s="197">
        <f t="shared" si="2"/>
        <v>147575.14520547952</v>
      </c>
      <c r="T31" s="230">
        <f t="shared" si="8"/>
        <v>147575.14520547952</v>
      </c>
      <c r="U31" s="101"/>
      <c r="V31" s="192">
        <f t="shared" si="3"/>
        <v>704674.18631199421</v>
      </c>
      <c r="W31" s="102"/>
      <c r="X31" s="209">
        <v>46265</v>
      </c>
      <c r="Y31" s="97">
        <f t="shared" si="4"/>
        <v>6</v>
      </c>
      <c r="Z31" s="198"/>
      <c r="AA31" s="198"/>
      <c r="AB31" s="198"/>
      <c r="AC31" s="270">
        <f t="shared" si="9"/>
        <v>0</v>
      </c>
    </row>
    <row r="32" spans="1:29" x14ac:dyDescent="0.25">
      <c r="A32" s="105"/>
      <c r="B32" s="205">
        <v>46293</v>
      </c>
      <c r="C32" s="97">
        <f t="shared" si="5"/>
        <v>33</v>
      </c>
      <c r="E32" s="189">
        <f>AVERAGE(CORRA!C758:'CORRA'!C790)/100</f>
        <v>2.3083700000000013E-2</v>
      </c>
      <c r="F32" s="191">
        <v>2.2954700000000001E-2</v>
      </c>
      <c r="G32" s="198">
        <f t="shared" si="0"/>
        <v>85923870.50999999</v>
      </c>
      <c r="H32" s="199">
        <f>'BNC-A'!I42-'TD-A'!J42+'BMO-A'!H34</f>
        <v>151392.83999999985</v>
      </c>
      <c r="I32" s="198">
        <f t="shared" si="6"/>
        <v>358277.60092881409</v>
      </c>
      <c r="J32" s="229">
        <f t="shared" si="1"/>
        <v>509670.44092881394</v>
      </c>
      <c r="K32" s="101"/>
      <c r="L32" s="198">
        <f t="shared" si="12"/>
        <v>11002661.569999997</v>
      </c>
      <c r="M32" s="199">
        <f>'BNC-B'!F38-'TD-B'!J37+'BMO-B'!H30</f>
        <v>18132.010000000038</v>
      </c>
      <c r="N32" s="198">
        <f t="shared" si="13"/>
        <v>45797.213249319189</v>
      </c>
      <c r="O32" s="229">
        <f t="shared" si="14"/>
        <v>63929.223249319228</v>
      </c>
      <c r="P32" s="101"/>
      <c r="Q32" s="195">
        <f t="shared" si="7"/>
        <v>39000000</v>
      </c>
      <c r="R32" s="195">
        <v>0</v>
      </c>
      <c r="S32" s="197">
        <f t="shared" si="2"/>
        <v>162332.65972602746</v>
      </c>
      <c r="T32" s="230">
        <f t="shared" si="8"/>
        <v>162332.65972602746</v>
      </c>
      <c r="U32" s="101"/>
      <c r="V32" s="192">
        <f t="shared" si="3"/>
        <v>735932.32390416064</v>
      </c>
      <c r="W32" s="102"/>
      <c r="X32" s="209">
        <v>46295</v>
      </c>
      <c r="Y32" s="97">
        <f t="shared" si="4"/>
        <v>3</v>
      </c>
      <c r="Z32" s="198"/>
      <c r="AA32" s="198"/>
      <c r="AB32" s="198"/>
      <c r="AC32" s="270">
        <f t="shared" si="9"/>
        <v>0</v>
      </c>
    </row>
    <row r="33" spans="1:29" x14ac:dyDescent="0.25">
      <c r="A33" s="105"/>
      <c r="B33" s="205">
        <v>46321</v>
      </c>
      <c r="C33" s="97">
        <f t="shared" si="5"/>
        <v>28</v>
      </c>
      <c r="E33" s="189">
        <f>AVERAGE(CORRA!C791:'CORRA'!C818)/100</f>
        <v>2.3083700000000023E-2</v>
      </c>
      <c r="F33" s="191">
        <v>2.2954700000000001E-2</v>
      </c>
      <c r="G33" s="198">
        <f t="shared" si="0"/>
        <v>85741944.019999996</v>
      </c>
      <c r="H33" s="199">
        <f>'BNC-A'!I43-'TD-A'!J43+'BMO-A'!H35</f>
        <v>181926.49000000022</v>
      </c>
      <c r="I33" s="198">
        <f t="shared" si="6"/>
        <v>303458.43989712984</v>
      </c>
      <c r="J33" s="229">
        <f t="shared" si="1"/>
        <v>485384.92989713006</v>
      </c>
      <c r="K33" s="101"/>
      <c r="L33" s="198">
        <f t="shared" si="12"/>
        <v>10980516.409999996</v>
      </c>
      <c r="M33" s="199">
        <f>'BNC-B'!F39-'TD-B'!J38+'BMO-B'!H31</f>
        <v>22145.160000000447</v>
      </c>
      <c r="N33" s="198">
        <f t="shared" si="13"/>
        <v>38780.031198148034</v>
      </c>
      <c r="O33" s="229">
        <f t="shared" si="14"/>
        <v>60925.191198148481</v>
      </c>
      <c r="P33" s="101"/>
      <c r="Q33" s="195">
        <f t="shared" si="7"/>
        <v>39000000</v>
      </c>
      <c r="R33" s="195">
        <v>0</v>
      </c>
      <c r="S33" s="197">
        <f t="shared" si="2"/>
        <v>137736.80219178088</v>
      </c>
      <c r="T33" s="230">
        <f t="shared" si="8"/>
        <v>137736.80219178088</v>
      </c>
      <c r="U33" s="101"/>
      <c r="V33" s="192">
        <f t="shared" si="3"/>
        <v>684046.92328705941</v>
      </c>
      <c r="W33" s="102"/>
      <c r="X33" s="209">
        <v>46326</v>
      </c>
      <c r="Y33" s="97">
        <f t="shared" si="4"/>
        <v>6</v>
      </c>
      <c r="Z33" s="198"/>
      <c r="AA33" s="198"/>
      <c r="AB33" s="198"/>
      <c r="AC33" s="270">
        <f t="shared" si="9"/>
        <v>0</v>
      </c>
    </row>
    <row r="34" spans="1:29" x14ac:dyDescent="0.25">
      <c r="A34" s="105"/>
      <c r="B34" s="205">
        <v>46352</v>
      </c>
      <c r="C34" s="97">
        <f t="shared" si="5"/>
        <v>31</v>
      </c>
      <c r="E34" s="189">
        <f>AVERAGE(CORRA!C819:'CORRA'!C849)/100</f>
        <v>2.3083700000000013E-2</v>
      </c>
      <c r="F34" s="191">
        <v>2.2954700000000001E-2</v>
      </c>
      <c r="G34" s="198">
        <f t="shared" si="0"/>
        <v>85577171.560000002</v>
      </c>
      <c r="H34" s="199">
        <f>'BNC-A'!I44-'TD-A'!J44+'BMO-A'!H36</f>
        <v>164772.45999999903</v>
      </c>
      <c r="I34" s="198">
        <f t="shared" si="6"/>
        <v>335260.49145940121</v>
      </c>
      <c r="J34" s="229">
        <f t="shared" si="1"/>
        <v>500032.95145940024</v>
      </c>
      <c r="K34" s="101"/>
      <c r="L34" s="198">
        <f t="shared" si="12"/>
        <v>10960632.189999998</v>
      </c>
      <c r="M34" s="199">
        <f>'BNC-B'!F40-'TD-B'!J39+'BMO-B'!H32</f>
        <v>19884.219999999554</v>
      </c>
      <c r="N34" s="198">
        <f t="shared" si="13"/>
        <v>42857.285039723225</v>
      </c>
      <c r="O34" s="229">
        <f t="shared" si="14"/>
        <v>62741.505039722775</v>
      </c>
      <c r="P34" s="101"/>
      <c r="Q34" s="195">
        <f t="shared" si="7"/>
        <v>39000000</v>
      </c>
      <c r="R34" s="195">
        <v>0</v>
      </c>
      <c r="S34" s="197">
        <f t="shared" si="2"/>
        <v>152494.31671232881</v>
      </c>
      <c r="T34" s="230">
        <f t="shared" si="8"/>
        <v>152494.31671232881</v>
      </c>
      <c r="U34" s="101"/>
      <c r="V34" s="192">
        <f t="shared" si="3"/>
        <v>715268.77321145183</v>
      </c>
      <c r="W34" s="102"/>
      <c r="X34" s="209">
        <v>46356</v>
      </c>
      <c r="Y34" s="97">
        <f t="shared" si="4"/>
        <v>5</v>
      </c>
      <c r="Z34" s="198"/>
      <c r="AA34" s="198"/>
      <c r="AB34" s="198"/>
      <c r="AC34" s="270">
        <f t="shared" si="9"/>
        <v>0</v>
      </c>
    </row>
    <row r="35" spans="1:29" x14ac:dyDescent="0.25">
      <c r="A35" s="105"/>
      <c r="B35" s="205">
        <v>46385</v>
      </c>
      <c r="C35" s="97">
        <f t="shared" si="5"/>
        <v>33</v>
      </c>
      <c r="E35" s="189">
        <f>AVERAGE(CORRA!C850:'CORRA'!C882)/100</f>
        <v>2.3083700000000013E-2</v>
      </c>
      <c r="F35" s="191">
        <v>2.2954700000000001E-2</v>
      </c>
      <c r="G35" s="312">
        <f t="shared" si="0"/>
        <v>85423604.230000004</v>
      </c>
      <c r="H35" s="199">
        <f>'BNC-A'!I45-'TD-A'!J45+'BMO-A'!H37</f>
        <v>153567.32999999635</v>
      </c>
      <c r="I35" s="198">
        <f t="shared" si="6"/>
        <v>356204.35567090649</v>
      </c>
      <c r="J35" s="229">
        <f t="shared" si="1"/>
        <v>509771.68567090284</v>
      </c>
      <c r="K35" s="101"/>
      <c r="L35" s="312">
        <f t="shared" si="12"/>
        <v>10946107.929999998</v>
      </c>
      <c r="M35" s="199">
        <v>14524.26</v>
      </c>
      <c r="N35" s="198">
        <f t="shared" si="13"/>
        <v>45561.815741668215</v>
      </c>
      <c r="O35" s="229">
        <f t="shared" si="14"/>
        <v>60086.075741668217</v>
      </c>
      <c r="P35" s="101"/>
      <c r="Q35" s="313">
        <f t="shared" si="7"/>
        <v>39000000</v>
      </c>
      <c r="R35" s="195">
        <v>0</v>
      </c>
      <c r="S35" s="197">
        <f t="shared" si="2"/>
        <v>162332.65972602746</v>
      </c>
      <c r="T35" s="230">
        <f t="shared" si="8"/>
        <v>162332.65972602746</v>
      </c>
      <c r="U35" s="101"/>
      <c r="V35" s="192">
        <f t="shared" si="3"/>
        <v>732190.42113859858</v>
      </c>
      <c r="W35" s="102"/>
      <c r="X35" s="209">
        <v>46387</v>
      </c>
      <c r="Y35" s="97">
        <f t="shared" si="4"/>
        <v>3</v>
      </c>
      <c r="Z35" s="198"/>
      <c r="AA35" s="198"/>
      <c r="AB35" s="198"/>
      <c r="AC35" s="270">
        <f t="shared" si="9"/>
        <v>0</v>
      </c>
    </row>
    <row r="36" spans="1:29" x14ac:dyDescent="0.25">
      <c r="A36" s="105"/>
      <c r="B36" s="205">
        <v>46413</v>
      </c>
      <c r="C36" s="97">
        <f t="shared" si="5"/>
        <v>28</v>
      </c>
      <c r="E36" s="189"/>
      <c r="F36" s="191">
        <v>2.2954700000000001E-2</v>
      </c>
      <c r="G36" s="198">
        <f t="shared" si="0"/>
        <v>85239663.930000007</v>
      </c>
      <c r="H36" s="199">
        <f>'BNC-A'!I46-'TD-A'!J46+'BMO-A'!H38</f>
        <v>183940.30000000075</v>
      </c>
      <c r="I36" s="198">
        <f t="shared" si="6"/>
        <v>150423.15020414977</v>
      </c>
      <c r="J36" s="229">
        <f t="shared" si="1"/>
        <v>334363.45020415052</v>
      </c>
      <c r="K36" s="101"/>
      <c r="L36" s="198">
        <f t="shared" si="12"/>
        <v>10931520.459999997</v>
      </c>
      <c r="M36" s="199">
        <v>14587.47</v>
      </c>
      <c r="N36" s="198">
        <f t="shared" si="13"/>
        <v>19249.407221064481</v>
      </c>
      <c r="O36" s="229">
        <f t="shared" si="14"/>
        <v>33836.877221064482</v>
      </c>
      <c r="P36" s="101"/>
      <c r="Q36" s="195">
        <f t="shared" si="7"/>
        <v>39000000</v>
      </c>
      <c r="R36" s="195">
        <v>0</v>
      </c>
      <c r="S36" s="197">
        <f t="shared" si="2"/>
        <v>68675.431232876712</v>
      </c>
      <c r="T36" s="230">
        <f t="shared" si="8"/>
        <v>68675.431232876712</v>
      </c>
      <c r="U36" s="101"/>
      <c r="V36" s="192">
        <f t="shared" si="3"/>
        <v>436875.75865809171</v>
      </c>
      <c r="W36" s="102"/>
      <c r="X36" s="209">
        <v>46418</v>
      </c>
      <c r="Y36" s="97">
        <f t="shared" si="4"/>
        <v>6</v>
      </c>
      <c r="Z36" s="198"/>
      <c r="AA36" s="198"/>
      <c r="AB36" s="198"/>
      <c r="AC36" s="270">
        <f t="shared" si="9"/>
        <v>0</v>
      </c>
    </row>
    <row r="37" spans="1:29" x14ac:dyDescent="0.25">
      <c r="A37" s="105"/>
      <c r="B37" s="205">
        <v>46444</v>
      </c>
      <c r="C37" s="97">
        <f t="shared" si="5"/>
        <v>31</v>
      </c>
      <c r="E37" s="189"/>
      <c r="F37" s="191">
        <v>2.2954700000000001E-2</v>
      </c>
      <c r="G37" s="198">
        <f t="shared" si="0"/>
        <v>85072768</v>
      </c>
      <c r="H37" s="199">
        <f>'BNC-A'!I47-'TD-A'!J47+'BMO-A'!H39</f>
        <v>166895.93000000156</v>
      </c>
      <c r="I37" s="198">
        <f t="shared" si="6"/>
        <v>166181.31047132358</v>
      </c>
      <c r="J37" s="229">
        <f t="shared" si="1"/>
        <v>333077.24047132512</v>
      </c>
      <c r="K37" s="101"/>
      <c r="L37" s="198">
        <f t="shared" si="12"/>
        <v>10916869.499999996</v>
      </c>
      <c r="M37" s="199">
        <v>14650.96</v>
      </c>
      <c r="N37" s="198">
        <f t="shared" si="13"/>
        <v>21283.280530578486</v>
      </c>
      <c r="O37" s="229">
        <f t="shared" si="14"/>
        <v>35934.240530578485</v>
      </c>
      <c r="P37" s="101"/>
      <c r="Q37" s="195">
        <f t="shared" si="7"/>
        <v>39000000</v>
      </c>
      <c r="R37" s="195">
        <v>0</v>
      </c>
      <c r="S37" s="197">
        <f t="shared" si="2"/>
        <v>76033.513150684928</v>
      </c>
      <c r="T37" s="230">
        <f t="shared" si="8"/>
        <v>76033.513150684928</v>
      </c>
      <c r="U37" s="101"/>
      <c r="V37" s="192">
        <f t="shared" si="3"/>
        <v>445044.99415258854</v>
      </c>
      <c r="W37" s="102"/>
      <c r="X37" s="209">
        <v>46446</v>
      </c>
      <c r="Y37" s="97">
        <f t="shared" si="4"/>
        <v>3</v>
      </c>
      <c r="Z37" s="198"/>
      <c r="AA37" s="198"/>
      <c r="AB37" s="198"/>
      <c r="AC37" s="270">
        <f t="shared" si="9"/>
        <v>0</v>
      </c>
    </row>
    <row r="38" spans="1:29" x14ac:dyDescent="0.25">
      <c r="A38" s="105"/>
      <c r="B38" s="205">
        <v>46475</v>
      </c>
      <c r="C38" s="97">
        <f t="shared" si="5"/>
        <v>31</v>
      </c>
      <c r="E38" s="189"/>
      <c r="F38" s="191">
        <v>2.2954700000000001E-2</v>
      </c>
      <c r="G38" s="198">
        <f t="shared" si="0"/>
        <v>84905165.810000002</v>
      </c>
      <c r="H38" s="199">
        <f>'BNC-A'!I48-'TD-A'!J48+'BMO-A'!H40</f>
        <v>167602.18999999948</v>
      </c>
      <c r="I38" s="198">
        <f t="shared" si="6"/>
        <v>165855.93396136331</v>
      </c>
      <c r="J38" s="229">
        <f t="shared" si="1"/>
        <v>333458.12396136275</v>
      </c>
      <c r="K38" s="101"/>
      <c r="L38" s="198">
        <f t="shared" si="12"/>
        <v>10902154.779999996</v>
      </c>
      <c r="M38" s="199">
        <v>14714.72</v>
      </c>
      <c r="N38" s="198">
        <f t="shared" si="13"/>
        <v>21254.593047075188</v>
      </c>
      <c r="O38" s="229">
        <f t="shared" si="14"/>
        <v>35969.313047075186</v>
      </c>
      <c r="P38" s="101"/>
      <c r="Q38" s="195">
        <f t="shared" si="7"/>
        <v>39000000</v>
      </c>
      <c r="R38" s="195">
        <v>0</v>
      </c>
      <c r="S38" s="197">
        <f t="shared" si="2"/>
        <v>76033.513150684928</v>
      </c>
      <c r="T38" s="230">
        <f t="shared" si="8"/>
        <v>76033.513150684928</v>
      </c>
      <c r="U38" s="101"/>
      <c r="V38" s="192">
        <f t="shared" si="3"/>
        <v>445460.95015912288</v>
      </c>
      <c r="X38" s="209">
        <v>46477</v>
      </c>
      <c r="Y38" s="97">
        <f t="shared" si="4"/>
        <v>3</v>
      </c>
      <c r="Z38" s="198"/>
      <c r="AA38" s="198"/>
      <c r="AB38" s="198"/>
      <c r="AC38" s="270">
        <f t="shared" si="9"/>
        <v>0</v>
      </c>
    </row>
    <row r="39" spans="1:29" x14ac:dyDescent="0.25">
      <c r="A39" s="105"/>
      <c r="B39" s="205">
        <v>46503</v>
      </c>
      <c r="C39" s="97">
        <f t="shared" si="5"/>
        <v>28</v>
      </c>
      <c r="E39" s="189"/>
      <c r="F39" s="191">
        <v>2.2954700000000001E-2</v>
      </c>
      <c r="G39" s="198">
        <f t="shared" si="0"/>
        <v>84719141.379999995</v>
      </c>
      <c r="H39" s="199">
        <f>'BNC-A'!I49-'TD-A'!J49+'BMO-A'!H41</f>
        <v>186024.43000000156</v>
      </c>
      <c r="I39" s="198">
        <f t="shared" ref="I39:I66" si="15">(G38*(E39+F39)*C39/365)</f>
        <v>149510.22758719616</v>
      </c>
      <c r="J39" s="229">
        <f t="shared" si="1"/>
        <v>335534.65758719773</v>
      </c>
      <c r="K39" s="101"/>
      <c r="L39" s="198">
        <f t="shared" si="12"/>
        <v>10887376.019999996</v>
      </c>
      <c r="M39" s="199">
        <v>14778.76</v>
      </c>
      <c r="N39" s="198">
        <f t="shared" si="13"/>
        <v>19171.672901743095</v>
      </c>
      <c r="O39" s="229">
        <f t="shared" si="14"/>
        <v>33950.432901743094</v>
      </c>
      <c r="P39" s="101"/>
      <c r="Q39" s="195">
        <f t="shared" si="7"/>
        <v>39000000</v>
      </c>
      <c r="R39" s="195">
        <v>0</v>
      </c>
      <c r="S39" s="197">
        <f t="shared" ref="S39:S70" si="16">(Q38*(E39+F39)*C39/365)</f>
        <v>68675.431232876712</v>
      </c>
      <c r="T39" s="230">
        <f t="shared" si="8"/>
        <v>68675.431232876712</v>
      </c>
      <c r="U39" s="101"/>
      <c r="V39" s="192">
        <f t="shared" si="3"/>
        <v>438160.52172181755</v>
      </c>
      <c r="X39" s="209">
        <v>46507</v>
      </c>
      <c r="Y39" s="97">
        <f t="shared" si="4"/>
        <v>5</v>
      </c>
      <c r="Z39" s="198"/>
      <c r="AA39" s="198"/>
      <c r="AB39" s="198"/>
      <c r="AC39" s="270">
        <f t="shared" si="9"/>
        <v>0</v>
      </c>
    </row>
    <row r="40" spans="1:29" x14ac:dyDescent="0.25">
      <c r="A40" s="105"/>
      <c r="B40" s="205">
        <v>46533</v>
      </c>
      <c r="C40" s="97">
        <f t="shared" si="5"/>
        <v>30</v>
      </c>
      <c r="E40" s="189"/>
      <c r="F40" s="191">
        <v>2.2954700000000001E-2</v>
      </c>
      <c r="G40" s="198">
        <f t="shared" si="0"/>
        <v>84544151.349999994</v>
      </c>
      <c r="H40" s="199">
        <f>'BNC-A'!I50-'TD-A'!J50+'BMO-A'!H42</f>
        <v>174990.03000000119</v>
      </c>
      <c r="I40" s="198">
        <f t="shared" si="15"/>
        <v>159838.55955908104</v>
      </c>
      <c r="J40" s="229">
        <f t="shared" si="1"/>
        <v>334828.58955908223</v>
      </c>
      <c r="K40" s="101"/>
      <c r="L40" s="198">
        <f t="shared" si="12"/>
        <v>10872532.949999996</v>
      </c>
      <c r="M40" s="199">
        <v>14843.07</v>
      </c>
      <c r="N40" s="198">
        <f t="shared" si="13"/>
        <v>20513.073871838213</v>
      </c>
      <c r="O40" s="229">
        <f t="shared" si="14"/>
        <v>35356.143871838212</v>
      </c>
      <c r="P40" s="101"/>
      <c r="Q40" s="195">
        <f t="shared" si="7"/>
        <v>39000000</v>
      </c>
      <c r="R40" s="195">
        <v>0</v>
      </c>
      <c r="S40" s="197">
        <f t="shared" si="16"/>
        <v>73580.819178082194</v>
      </c>
      <c r="T40" s="230">
        <f t="shared" si="8"/>
        <v>73580.819178082194</v>
      </c>
      <c r="U40" s="101"/>
      <c r="V40" s="192">
        <f t="shared" si="3"/>
        <v>443765.55260900268</v>
      </c>
      <c r="X40" s="209">
        <v>46538</v>
      </c>
      <c r="Y40" s="97">
        <f t="shared" ref="Y40:Y71" si="17">X40-B40+1</f>
        <v>6</v>
      </c>
      <c r="Z40" s="198"/>
      <c r="AA40" s="198"/>
      <c r="AB40" s="198"/>
      <c r="AC40" s="270">
        <f t="shared" si="9"/>
        <v>0</v>
      </c>
    </row>
    <row r="41" spans="1:29" x14ac:dyDescent="0.25">
      <c r="A41" s="105"/>
      <c r="B41" s="205">
        <v>46566</v>
      </c>
      <c r="C41" s="97">
        <f t="shared" si="5"/>
        <v>33</v>
      </c>
      <c r="E41" s="189"/>
      <c r="F41" s="191">
        <v>2.2954700000000001E-2</v>
      </c>
      <c r="G41" s="198">
        <f t="shared" si="0"/>
        <v>84386068.879999995</v>
      </c>
      <c r="H41" s="199">
        <f>'BNC-A'!I51-'TD-A'!J51+'BMO-A'!H43</f>
        <v>158082.47000000253</v>
      </c>
      <c r="I41" s="198">
        <f t="shared" si="15"/>
        <v>175459.24882958049</v>
      </c>
      <c r="J41" s="229">
        <f t="shared" si="1"/>
        <v>333541.71882958303</v>
      </c>
      <c r="K41" s="101"/>
      <c r="L41" s="198">
        <f t="shared" si="12"/>
        <v>10857625.279999996</v>
      </c>
      <c r="M41" s="199">
        <v>14907.67</v>
      </c>
      <c r="N41" s="198">
        <f t="shared" si="13"/>
        <v>22533.442530106644</v>
      </c>
      <c r="O41" s="229">
        <f t="shared" si="14"/>
        <v>37441.112530106642</v>
      </c>
      <c r="P41" s="101"/>
      <c r="Q41" s="195">
        <f t="shared" si="7"/>
        <v>39000000</v>
      </c>
      <c r="R41" s="195">
        <v>0</v>
      </c>
      <c r="S41" s="197">
        <f t="shared" si="16"/>
        <v>80938.901095890411</v>
      </c>
      <c r="T41" s="230">
        <f t="shared" si="8"/>
        <v>80938.901095890411</v>
      </c>
      <c r="U41" s="101"/>
      <c r="V41" s="192">
        <f t="shared" si="3"/>
        <v>451921.73245558003</v>
      </c>
      <c r="X41" s="209">
        <v>46568</v>
      </c>
      <c r="Y41" s="97">
        <f t="shared" si="17"/>
        <v>3</v>
      </c>
      <c r="Z41" s="198"/>
      <c r="AA41" s="198"/>
      <c r="AB41" s="198"/>
      <c r="AC41" s="270">
        <f t="shared" si="9"/>
        <v>0</v>
      </c>
    </row>
    <row r="42" spans="1:29" x14ac:dyDescent="0.25">
      <c r="A42" s="105"/>
      <c r="B42" s="205">
        <v>46594</v>
      </c>
      <c r="C42" s="97">
        <f t="shared" si="5"/>
        <v>28</v>
      </c>
      <c r="E42" s="189"/>
      <c r="F42" s="191">
        <v>2.2954700000000001E-2</v>
      </c>
      <c r="G42" s="198">
        <f t="shared" si="0"/>
        <v>84197956.289999992</v>
      </c>
      <c r="H42" s="199">
        <f>'BNC-A'!I52-'TD-A'!J52+'BMO-A'!H45</f>
        <v>188112.59000000299</v>
      </c>
      <c r="I42" s="198">
        <f t="shared" si="15"/>
        <v>148596.14539439071</v>
      </c>
      <c r="J42" s="229">
        <f t="shared" si="1"/>
        <v>336708.73539439368</v>
      </c>
      <c r="K42" s="101"/>
      <c r="L42" s="198">
        <f t="shared" si="12"/>
        <v>10842652.729999995</v>
      </c>
      <c r="M42" s="199">
        <v>14972.55</v>
      </c>
      <c r="N42" s="198">
        <f t="shared" si="13"/>
        <v>19092.919280540453</v>
      </c>
      <c r="O42" s="229">
        <f t="shared" si="14"/>
        <v>34065.469280540448</v>
      </c>
      <c r="P42" s="101"/>
      <c r="Q42" s="195">
        <f t="shared" si="7"/>
        <v>39000000</v>
      </c>
      <c r="R42" s="195">
        <v>0</v>
      </c>
      <c r="S42" s="197">
        <f t="shared" si="16"/>
        <v>68675.431232876712</v>
      </c>
      <c r="T42" s="230">
        <f t="shared" si="8"/>
        <v>68675.431232876712</v>
      </c>
      <c r="U42" s="101"/>
      <c r="V42" s="192">
        <f t="shared" si="3"/>
        <v>439449.63590781088</v>
      </c>
      <c r="X42" s="209">
        <v>46599</v>
      </c>
      <c r="Y42" s="97">
        <f t="shared" si="17"/>
        <v>6</v>
      </c>
      <c r="Z42" s="198"/>
      <c r="AA42" s="198"/>
      <c r="AB42" s="198"/>
      <c r="AC42" s="270">
        <f t="shared" si="9"/>
        <v>0</v>
      </c>
    </row>
    <row r="43" spans="1:29" x14ac:dyDescent="0.25">
      <c r="A43" s="105"/>
      <c r="B43" s="205">
        <v>46625</v>
      </c>
      <c r="C43" s="97">
        <f t="shared" si="5"/>
        <v>31</v>
      </c>
      <c r="E43" s="189"/>
      <c r="F43" s="191">
        <v>2.2954700000000001E-2</v>
      </c>
      <c r="G43" s="198">
        <f t="shared" si="0"/>
        <v>84026651.75999999</v>
      </c>
      <c r="H43" s="199">
        <f>'BNC-A'!I53-'TD-A'!J53+'BMO-A'!H46</f>
        <v>171304.53000000029</v>
      </c>
      <c r="I43" s="198">
        <f t="shared" si="15"/>
        <v>164150.42094452589</v>
      </c>
      <c r="J43" s="229">
        <f t="shared" si="1"/>
        <v>335454.95094452618</v>
      </c>
      <c r="K43" s="101"/>
      <c r="L43" s="198">
        <f t="shared" si="12"/>
        <v>10827615.019999994</v>
      </c>
      <c r="M43" s="199">
        <v>15037.71</v>
      </c>
      <c r="N43" s="198">
        <f t="shared" si="13"/>
        <v>21109.272025992905</v>
      </c>
      <c r="O43" s="229">
        <f t="shared" si="14"/>
        <v>36146.982025992904</v>
      </c>
      <c r="P43" s="101"/>
      <c r="Q43" s="195">
        <f t="shared" si="7"/>
        <v>39000000</v>
      </c>
      <c r="R43" s="195">
        <v>0</v>
      </c>
      <c r="S43" s="197">
        <f t="shared" si="16"/>
        <v>76033.513150684928</v>
      </c>
      <c r="T43" s="230">
        <f t="shared" si="8"/>
        <v>76033.513150684928</v>
      </c>
      <c r="U43" s="101"/>
      <c r="V43" s="192">
        <f t="shared" si="3"/>
        <v>447635.446121204</v>
      </c>
      <c r="X43" s="209">
        <v>46630</v>
      </c>
      <c r="Y43" s="97">
        <f t="shared" si="17"/>
        <v>6</v>
      </c>
      <c r="Z43" s="198"/>
      <c r="AA43" s="198"/>
      <c r="AB43" s="198"/>
      <c r="AC43" s="270">
        <f t="shared" si="9"/>
        <v>0</v>
      </c>
    </row>
    <row r="44" spans="1:29" x14ac:dyDescent="0.25">
      <c r="A44" s="105"/>
      <c r="B44" s="205">
        <v>46657</v>
      </c>
      <c r="C44" s="97">
        <f t="shared" si="5"/>
        <v>32</v>
      </c>
      <c r="E44" s="189"/>
      <c r="F44" s="191">
        <v>2.2954700000000001E-2</v>
      </c>
      <c r="G44" s="198">
        <f t="shared" si="0"/>
        <v>83860465.889999986</v>
      </c>
      <c r="H44" s="199">
        <f>'BNC-A'!I54-'TD-A'!J54+'BMO-A'!H47</f>
        <v>166185.87000000328</v>
      </c>
      <c r="I44" s="198">
        <f t="shared" si="15"/>
        <v>169100.85112594164</v>
      </c>
      <c r="J44" s="229">
        <f t="shared" si="1"/>
        <v>335286.72112594493</v>
      </c>
      <c r="K44" s="101"/>
      <c r="L44" s="198">
        <f t="shared" si="12"/>
        <v>10812511.869999994</v>
      </c>
      <c r="M44" s="199">
        <v>15103.15</v>
      </c>
      <c r="N44" s="198">
        <f t="shared" ref="N44:N75" si="18">(L44*(E44+F44)*C44/365)</f>
        <v>21759.82169620067</v>
      </c>
      <c r="O44" s="229">
        <f t="shared" si="14"/>
        <v>36862.971696200671</v>
      </c>
      <c r="P44" s="101"/>
      <c r="Q44" s="195">
        <f t="shared" si="7"/>
        <v>39000000</v>
      </c>
      <c r="R44" s="195">
        <v>0</v>
      </c>
      <c r="S44" s="197">
        <f t="shared" si="16"/>
        <v>78486.207123287677</v>
      </c>
      <c r="T44" s="230">
        <f t="shared" si="8"/>
        <v>78486.207123287677</v>
      </c>
      <c r="U44" s="101"/>
      <c r="V44" s="192">
        <f t="shared" si="3"/>
        <v>450635.89994543325</v>
      </c>
      <c r="X44" s="209">
        <v>46660</v>
      </c>
      <c r="Y44" s="97">
        <f t="shared" si="17"/>
        <v>4</v>
      </c>
      <c r="Z44" s="198"/>
      <c r="AA44" s="198"/>
      <c r="AB44" s="198"/>
      <c r="AC44" s="270">
        <f t="shared" si="9"/>
        <v>0</v>
      </c>
    </row>
    <row r="45" spans="1:29" x14ac:dyDescent="0.25">
      <c r="A45" s="105"/>
      <c r="B45" s="205">
        <v>46686</v>
      </c>
      <c r="C45" s="97">
        <f t="shared" si="5"/>
        <v>29</v>
      </c>
      <c r="E45" s="189"/>
      <c r="F45" s="191">
        <v>2.2954700000000001E-2</v>
      </c>
      <c r="G45" s="198">
        <f t="shared" si="0"/>
        <v>83676071.539999992</v>
      </c>
      <c r="H45" s="199">
        <f>'BNC-A'!I55-'TD-A'!J55+'BMO-A'!H48</f>
        <v>184394.34999999701</v>
      </c>
      <c r="I45" s="198">
        <f t="shared" si="15"/>
        <v>152944.55686189124</v>
      </c>
      <c r="J45" s="229">
        <f t="shared" si="1"/>
        <v>337338.90686188824</v>
      </c>
      <c r="K45" s="101"/>
      <c r="L45" s="198">
        <f t="shared" ref="L45:L76" si="19">L44-M45</f>
        <v>10797342.989999993</v>
      </c>
      <c r="M45" s="199">
        <v>15168.88</v>
      </c>
      <c r="N45" s="198">
        <f t="shared" si="18"/>
        <v>19692.173437928854</v>
      </c>
      <c r="O45" s="229">
        <f t="shared" si="14"/>
        <v>34861.053437928851</v>
      </c>
      <c r="P45" s="101"/>
      <c r="Q45" s="195">
        <f t="shared" si="7"/>
        <v>39000000</v>
      </c>
      <c r="R45" s="195">
        <v>0</v>
      </c>
      <c r="S45" s="197">
        <f t="shared" si="16"/>
        <v>71128.12520547946</v>
      </c>
      <c r="T45" s="230">
        <f t="shared" si="8"/>
        <v>71128.12520547946</v>
      </c>
      <c r="U45" s="101"/>
      <c r="V45" s="192">
        <f t="shared" si="3"/>
        <v>443328.08550529653</v>
      </c>
      <c r="X45" s="209">
        <v>46691</v>
      </c>
      <c r="Y45" s="97">
        <f t="shared" si="17"/>
        <v>6</v>
      </c>
      <c r="Z45" s="198"/>
      <c r="AA45" s="198"/>
      <c r="AB45" s="198"/>
      <c r="AC45" s="270">
        <f t="shared" si="9"/>
        <v>0</v>
      </c>
    </row>
    <row r="46" spans="1:29" x14ac:dyDescent="0.25">
      <c r="A46" s="105"/>
      <c r="B46" s="205">
        <v>46717</v>
      </c>
      <c r="C46" s="97">
        <f t="shared" si="5"/>
        <v>31</v>
      </c>
      <c r="E46" s="189"/>
      <c r="F46" s="191">
        <v>2.2954700000000001E-2</v>
      </c>
      <c r="G46" s="198">
        <f t="shared" si="0"/>
        <v>83502559.709999993</v>
      </c>
      <c r="H46" s="199">
        <f>'BNC-A'!I56-'TD-A'!J56+'BMO-A'!H49</f>
        <v>173511.82999999792</v>
      </c>
      <c r="I46" s="198">
        <f t="shared" si="15"/>
        <v>163132.96630344214</v>
      </c>
      <c r="J46" s="229">
        <f t="shared" si="1"/>
        <v>336644.79630344006</v>
      </c>
      <c r="K46" s="101"/>
      <c r="L46" s="198">
        <f t="shared" si="19"/>
        <v>10782108.089999992</v>
      </c>
      <c r="M46" s="199">
        <v>15234.9</v>
      </c>
      <c r="N46" s="198">
        <f t="shared" si="18"/>
        <v>21020.55275008002</v>
      </c>
      <c r="O46" s="229">
        <f t="shared" si="14"/>
        <v>36255.452750080018</v>
      </c>
      <c r="P46" s="101"/>
      <c r="Q46" s="195">
        <f t="shared" si="7"/>
        <v>39000000</v>
      </c>
      <c r="R46" s="195">
        <v>0</v>
      </c>
      <c r="S46" s="197">
        <f t="shared" si="16"/>
        <v>76033.513150684928</v>
      </c>
      <c r="T46" s="230">
        <f t="shared" si="8"/>
        <v>76033.513150684928</v>
      </c>
      <c r="U46" s="101"/>
      <c r="V46" s="192">
        <f t="shared" si="3"/>
        <v>448933.76220420504</v>
      </c>
      <c r="X46" s="209">
        <v>46721</v>
      </c>
      <c r="Y46" s="97">
        <f t="shared" si="17"/>
        <v>5</v>
      </c>
      <c r="Z46" s="198"/>
      <c r="AA46" s="198"/>
      <c r="AB46" s="198"/>
      <c r="AC46" s="270">
        <f t="shared" si="9"/>
        <v>0</v>
      </c>
    </row>
    <row r="47" spans="1:29" x14ac:dyDescent="0.25">
      <c r="A47" s="105"/>
      <c r="B47" s="205">
        <v>46750</v>
      </c>
      <c r="C47" s="97">
        <f t="shared" si="5"/>
        <v>33</v>
      </c>
      <c r="E47" s="189"/>
      <c r="F47" s="191">
        <v>2.2954700000000001E-2</v>
      </c>
      <c r="G47" s="198">
        <f t="shared" si="0"/>
        <v>83339928.109999999</v>
      </c>
      <c r="H47" s="199">
        <f>'BNC-A'!I57-'TD-A'!J57+'BMO-A'!H50</f>
        <v>162631.59999999762</v>
      </c>
      <c r="I47" s="198">
        <f t="shared" si="15"/>
        <v>173297.57491336856</v>
      </c>
      <c r="J47" s="229">
        <f t="shared" si="1"/>
        <v>335929.17491336621</v>
      </c>
      <c r="K47" s="101"/>
      <c r="L47" s="198">
        <f t="shared" si="19"/>
        <v>10766806.889999993</v>
      </c>
      <c r="M47" s="199">
        <v>15301.2</v>
      </c>
      <c r="N47" s="198">
        <f t="shared" si="18"/>
        <v>22344.961999699</v>
      </c>
      <c r="O47" s="229">
        <f t="shared" si="14"/>
        <v>37646.161999699005</v>
      </c>
      <c r="P47" s="101"/>
      <c r="Q47" s="195">
        <f t="shared" si="7"/>
        <v>39000000</v>
      </c>
      <c r="R47" s="195">
        <v>0</v>
      </c>
      <c r="S47" s="197">
        <f t="shared" si="16"/>
        <v>80938.901095890411</v>
      </c>
      <c r="T47" s="230">
        <f t="shared" si="8"/>
        <v>80938.901095890411</v>
      </c>
      <c r="U47" s="101"/>
      <c r="V47" s="192">
        <f t="shared" si="3"/>
        <v>454514.23800895561</v>
      </c>
      <c r="X47" s="209">
        <v>46752</v>
      </c>
      <c r="Y47" s="97">
        <f t="shared" si="17"/>
        <v>3</v>
      </c>
      <c r="Z47" s="198"/>
      <c r="AA47" s="198"/>
      <c r="AB47" s="198"/>
      <c r="AC47" s="270">
        <f t="shared" si="9"/>
        <v>0</v>
      </c>
    </row>
    <row r="48" spans="1:29" x14ac:dyDescent="0.25">
      <c r="A48" s="105"/>
      <c r="B48" s="205">
        <v>46778</v>
      </c>
      <c r="C48" s="97">
        <f t="shared" si="5"/>
        <v>28</v>
      </c>
      <c r="E48" s="189"/>
      <c r="F48" s="191">
        <v>2.2954700000000001E-2</v>
      </c>
      <c r="G48" s="198">
        <f t="shared" si="0"/>
        <v>83147605.149999991</v>
      </c>
      <c r="H48" s="199">
        <f>'BNC-A'!I58-'TD-A'!J58+'BMO-A'!H51</f>
        <v>192322.9600000027</v>
      </c>
      <c r="I48" s="198">
        <f t="shared" si="15"/>
        <v>146753.98722746651</v>
      </c>
      <c r="J48" s="229">
        <f t="shared" si="1"/>
        <v>339076.94722746918</v>
      </c>
      <c r="K48" s="101"/>
      <c r="L48" s="198">
        <f t="shared" si="19"/>
        <v>10751439.099999994</v>
      </c>
      <c r="M48" s="199">
        <v>15367.79</v>
      </c>
      <c r="N48" s="198">
        <f t="shared" si="18"/>
        <v>18932.300424782345</v>
      </c>
      <c r="O48" s="229">
        <f t="shared" si="14"/>
        <v>34300.090424782349</v>
      </c>
      <c r="P48" s="101"/>
      <c r="Q48" s="195">
        <f t="shared" si="7"/>
        <v>39000000</v>
      </c>
      <c r="R48" s="195">
        <v>0</v>
      </c>
      <c r="S48" s="197">
        <f t="shared" si="16"/>
        <v>68675.431232876712</v>
      </c>
      <c r="T48" s="230">
        <f t="shared" si="8"/>
        <v>68675.431232876712</v>
      </c>
      <c r="U48" s="101"/>
      <c r="V48" s="192">
        <f t="shared" si="3"/>
        <v>442052.46888512827</v>
      </c>
      <c r="X48" s="209">
        <v>46783</v>
      </c>
      <c r="Y48" s="97">
        <f t="shared" si="17"/>
        <v>6</v>
      </c>
      <c r="Z48" s="198"/>
      <c r="AA48" s="198"/>
      <c r="AB48" s="198"/>
      <c r="AC48" s="270">
        <f t="shared" si="9"/>
        <v>0</v>
      </c>
    </row>
    <row r="49" spans="1:29" x14ac:dyDescent="0.25">
      <c r="A49" s="105"/>
      <c r="B49" s="205">
        <v>46811</v>
      </c>
      <c r="C49" s="97">
        <f t="shared" si="5"/>
        <v>33</v>
      </c>
      <c r="E49" s="189"/>
      <c r="F49" s="191">
        <v>2.2954700000000001E-2</v>
      </c>
      <c r="G49" s="198">
        <f t="shared" si="0"/>
        <v>82983422.799999997</v>
      </c>
      <c r="H49" s="199">
        <f>'BNC-A'!I59-'TD-A'!J59+'BMO-A'!H52</f>
        <v>164182.3500000012</v>
      </c>
      <c r="I49" s="198">
        <f t="shared" si="15"/>
        <v>172560.91768194866</v>
      </c>
      <c r="J49" s="229">
        <f t="shared" si="1"/>
        <v>336743.26768194989</v>
      </c>
      <c r="K49" s="101"/>
      <c r="L49" s="198">
        <f t="shared" si="19"/>
        <v>10736004.429999994</v>
      </c>
      <c r="M49" s="199">
        <v>15434.67</v>
      </c>
      <c r="N49" s="198">
        <f t="shared" si="18"/>
        <v>22281.035916020792</v>
      </c>
      <c r="O49" s="229">
        <f t="shared" si="14"/>
        <v>37715.705916020794</v>
      </c>
      <c r="P49" s="101"/>
      <c r="Q49" s="195">
        <f t="shared" si="7"/>
        <v>39000000</v>
      </c>
      <c r="R49" s="195">
        <v>0</v>
      </c>
      <c r="S49" s="197">
        <f t="shared" si="16"/>
        <v>80938.901095890411</v>
      </c>
      <c r="T49" s="230">
        <f t="shared" si="8"/>
        <v>80938.901095890411</v>
      </c>
      <c r="U49" s="101"/>
      <c r="V49" s="192">
        <f t="shared" si="3"/>
        <v>455397.87469386111</v>
      </c>
      <c r="X49" s="209">
        <v>46812</v>
      </c>
      <c r="Y49" s="97">
        <f t="shared" si="17"/>
        <v>2</v>
      </c>
      <c r="Z49" s="198"/>
      <c r="AA49" s="198"/>
      <c r="AB49" s="198"/>
      <c r="AC49" s="270">
        <f t="shared" si="9"/>
        <v>0</v>
      </c>
    </row>
    <row r="50" spans="1:29" x14ac:dyDescent="0.25">
      <c r="A50" s="105"/>
      <c r="B50" s="205">
        <v>46839</v>
      </c>
      <c r="C50" s="97">
        <f t="shared" si="5"/>
        <v>28</v>
      </c>
      <c r="E50" s="189"/>
      <c r="F50" s="191">
        <v>2.2954700000000001E-2</v>
      </c>
      <c r="G50" s="198">
        <f t="shared" si="0"/>
        <v>82789666.280000001</v>
      </c>
      <c r="H50" s="199">
        <f>'BNC-A'!I60-'TD-A'!J60+'BMO-A'!H53</f>
        <v>193756.5200000027</v>
      </c>
      <c r="I50" s="198">
        <f t="shared" si="15"/>
        <v>146126.2139992342</v>
      </c>
      <c r="J50" s="229">
        <f t="shared" si="1"/>
        <v>339882.73399923689</v>
      </c>
      <c r="K50" s="101"/>
      <c r="L50" s="198">
        <f t="shared" si="19"/>
        <v>10720502.589999994</v>
      </c>
      <c r="M50" s="199">
        <v>15501.84</v>
      </c>
      <c r="N50" s="198">
        <f t="shared" si="18"/>
        <v>18877.824061574905</v>
      </c>
      <c r="O50" s="229">
        <f t="shared" si="14"/>
        <v>34379.664061574906</v>
      </c>
      <c r="P50" s="101"/>
      <c r="Q50" s="195">
        <f t="shared" si="7"/>
        <v>39000000</v>
      </c>
      <c r="R50" s="195">
        <v>0</v>
      </c>
      <c r="S50" s="197">
        <f t="shared" si="16"/>
        <v>68675.431232876712</v>
      </c>
      <c r="T50" s="230">
        <f t="shared" si="8"/>
        <v>68675.431232876712</v>
      </c>
      <c r="U50" s="101"/>
      <c r="V50" s="192">
        <f t="shared" si="3"/>
        <v>442937.82929368853</v>
      </c>
      <c r="X50" s="209">
        <v>46843</v>
      </c>
      <c r="Y50" s="97">
        <f t="shared" si="17"/>
        <v>5</v>
      </c>
      <c r="Z50" s="198"/>
      <c r="AA50" s="198"/>
      <c r="AB50" s="198"/>
      <c r="AC50" s="270">
        <f t="shared" si="9"/>
        <v>0</v>
      </c>
    </row>
    <row r="51" spans="1:29" x14ac:dyDescent="0.25">
      <c r="A51" s="105"/>
      <c r="B51" s="205">
        <v>46869</v>
      </c>
      <c r="C51" s="97">
        <f t="shared" si="5"/>
        <v>30</v>
      </c>
      <c r="E51" s="189"/>
      <c r="F51" s="191">
        <v>2.2954700000000001E-2</v>
      </c>
      <c r="G51" s="198">
        <f t="shared" si="0"/>
        <v>82606646.549999997</v>
      </c>
      <c r="H51" s="199">
        <f>'BNC-A'!I61-'TD-A'!J61+'BMO-A'!H54</f>
        <v>183019.72999999969</v>
      </c>
      <c r="I51" s="198">
        <f t="shared" si="15"/>
        <v>156198.24267596024</v>
      </c>
      <c r="J51" s="229">
        <f t="shared" si="1"/>
        <v>339217.97267595993</v>
      </c>
      <c r="K51" s="101"/>
      <c r="L51" s="198">
        <f t="shared" si="19"/>
        <v>10704933.279999994</v>
      </c>
      <c r="M51" s="199">
        <v>15569.31</v>
      </c>
      <c r="N51" s="198">
        <f t="shared" si="18"/>
        <v>20196.86564074651</v>
      </c>
      <c r="O51" s="229">
        <f t="shared" si="14"/>
        <v>35766.175640746507</v>
      </c>
      <c r="P51" s="101"/>
      <c r="Q51" s="195">
        <f t="shared" si="7"/>
        <v>39000000</v>
      </c>
      <c r="R51" s="195">
        <v>0</v>
      </c>
      <c r="S51" s="197">
        <f t="shared" si="16"/>
        <v>73580.819178082194</v>
      </c>
      <c r="T51" s="230">
        <f t="shared" si="8"/>
        <v>73580.819178082194</v>
      </c>
      <c r="U51" s="101"/>
      <c r="V51" s="192">
        <f t="shared" si="3"/>
        <v>448564.96749478858</v>
      </c>
      <c r="X51" s="209">
        <v>46873</v>
      </c>
      <c r="Y51" s="97">
        <f t="shared" si="17"/>
        <v>5</v>
      </c>
      <c r="Z51" s="198"/>
      <c r="AA51" s="198"/>
      <c r="AB51" s="198"/>
      <c r="AC51" s="270">
        <f t="shared" si="9"/>
        <v>0</v>
      </c>
    </row>
    <row r="52" spans="1:29" x14ac:dyDescent="0.25">
      <c r="A52" s="105"/>
      <c r="B52" s="205">
        <v>46899</v>
      </c>
      <c r="C52" s="97">
        <f t="shared" si="5"/>
        <v>30</v>
      </c>
      <c r="E52" s="189"/>
      <c r="F52" s="191">
        <v>2.2954700000000001E-2</v>
      </c>
      <c r="G52" s="198">
        <f t="shared" si="0"/>
        <v>82422864.989999995</v>
      </c>
      <c r="H52" s="199">
        <f>'BNC-A'!I62-'TD-A'!J62+'BMO-A'!H55</f>
        <v>183781.56000000119</v>
      </c>
      <c r="I52" s="198">
        <f t="shared" si="15"/>
        <v>155852.94160777683</v>
      </c>
      <c r="J52" s="229">
        <f t="shared" si="1"/>
        <v>339634.50160777802</v>
      </c>
      <c r="K52" s="101"/>
      <c r="L52" s="198">
        <f t="shared" si="19"/>
        <v>10689296.219999993</v>
      </c>
      <c r="M52" s="199">
        <v>15637.06</v>
      </c>
      <c r="N52" s="198">
        <f t="shared" si="18"/>
        <v>20167.363392430179</v>
      </c>
      <c r="O52" s="229">
        <f t="shared" si="14"/>
        <v>35804.423392430181</v>
      </c>
      <c r="P52" s="101"/>
      <c r="Q52" s="195">
        <f t="shared" si="7"/>
        <v>39000000</v>
      </c>
      <c r="R52" s="195">
        <v>0</v>
      </c>
      <c r="S52" s="197">
        <f t="shared" si="16"/>
        <v>73580.819178082194</v>
      </c>
      <c r="T52" s="230">
        <f t="shared" si="8"/>
        <v>73580.819178082194</v>
      </c>
      <c r="U52" s="101"/>
      <c r="V52" s="192">
        <f t="shared" si="3"/>
        <v>449019.74417829036</v>
      </c>
      <c r="X52" s="209">
        <v>46904</v>
      </c>
      <c r="Y52" s="97">
        <f t="shared" si="17"/>
        <v>6</v>
      </c>
      <c r="Z52" s="198"/>
      <c r="AA52" s="198"/>
      <c r="AB52" s="198"/>
      <c r="AC52" s="270">
        <f t="shared" si="9"/>
        <v>0</v>
      </c>
    </row>
    <row r="53" spans="1:29" x14ac:dyDescent="0.25">
      <c r="A53" s="206"/>
      <c r="B53" s="207">
        <v>46931</v>
      </c>
      <c r="C53" s="164">
        <f t="shared" si="5"/>
        <v>32</v>
      </c>
      <c r="E53" s="189"/>
      <c r="F53" s="191">
        <v>2.2954700000000001E-2</v>
      </c>
      <c r="G53" s="198">
        <f t="shared" si="0"/>
        <v>82249783.579999998</v>
      </c>
      <c r="H53" s="199">
        <f>'BNC-A'!I63-'TD-A'!J63+'BMO-A'!H56</f>
        <v>173081.40999999701</v>
      </c>
      <c r="I53" s="198">
        <f t="shared" si="15"/>
        <v>165873.28341794657</v>
      </c>
      <c r="J53" s="229">
        <f t="shared" si="1"/>
        <v>338954.69341794355</v>
      </c>
      <c r="K53" s="101"/>
      <c r="L53" s="198">
        <f t="shared" si="19"/>
        <v>10673591.099999994</v>
      </c>
      <c r="M53" s="199">
        <v>15705.12</v>
      </c>
      <c r="N53" s="198">
        <f t="shared" si="18"/>
        <v>21480.248251894347</v>
      </c>
      <c r="O53" s="229">
        <f t="shared" si="14"/>
        <v>37185.368251894346</v>
      </c>
      <c r="P53" s="101"/>
      <c r="Q53" s="195">
        <f t="shared" si="7"/>
        <v>39000000</v>
      </c>
      <c r="R53" s="195">
        <v>0</v>
      </c>
      <c r="S53" s="197">
        <f t="shared" si="16"/>
        <v>78486.207123287677</v>
      </c>
      <c r="T53" s="230">
        <f t="shared" si="8"/>
        <v>78486.207123287677</v>
      </c>
      <c r="U53" s="101"/>
      <c r="V53" s="192">
        <f t="shared" si="3"/>
        <v>454626.26879312558</v>
      </c>
      <c r="X53" s="207">
        <v>46934</v>
      </c>
      <c r="Y53" s="97">
        <f t="shared" si="17"/>
        <v>4</v>
      </c>
      <c r="Z53" s="198"/>
      <c r="AA53" s="198"/>
      <c r="AB53" s="198"/>
      <c r="AC53" s="270">
        <f t="shared" si="9"/>
        <v>0</v>
      </c>
    </row>
    <row r="54" spans="1:29" x14ac:dyDescent="0.25">
      <c r="A54" s="106"/>
      <c r="B54" s="207">
        <v>46960</v>
      </c>
      <c r="C54" s="164">
        <f t="shared" si="5"/>
        <v>29</v>
      </c>
      <c r="E54" s="189"/>
      <c r="F54" s="191">
        <v>2.2954700000000001E-2</v>
      </c>
      <c r="G54" s="198">
        <f t="shared" si="0"/>
        <v>82058796.840000004</v>
      </c>
      <c r="H54" s="199">
        <f>'BNC-A'!I64-'TD-A'!J64+'BMO-A'!H57</f>
        <v>190986.7399999988</v>
      </c>
      <c r="I54" s="198">
        <f t="shared" si="15"/>
        <v>150006.99755389302</v>
      </c>
      <c r="J54" s="229">
        <f t="shared" si="1"/>
        <v>340993.73755389184</v>
      </c>
      <c r="K54" s="101"/>
      <c r="L54" s="198">
        <f t="shared" si="19"/>
        <v>10657817.629999993</v>
      </c>
      <c r="M54" s="199">
        <v>15773.47</v>
      </c>
      <c r="N54" s="198">
        <f t="shared" si="18"/>
        <v>19437.707353943741</v>
      </c>
      <c r="O54" s="229">
        <f t="shared" si="14"/>
        <v>35211.177353943742</v>
      </c>
      <c r="P54" s="101"/>
      <c r="Q54" s="195">
        <f t="shared" si="7"/>
        <v>39000000</v>
      </c>
      <c r="R54" s="195">
        <v>0</v>
      </c>
      <c r="S54" s="197">
        <f t="shared" si="16"/>
        <v>71128.12520547946</v>
      </c>
      <c r="T54" s="230">
        <f t="shared" si="8"/>
        <v>71128.12520547946</v>
      </c>
      <c r="U54" s="101"/>
      <c r="V54" s="192">
        <f t="shared" si="3"/>
        <v>447333.04011331504</v>
      </c>
      <c r="X54" s="207">
        <v>46965</v>
      </c>
      <c r="Y54" s="97">
        <f t="shared" si="17"/>
        <v>6</v>
      </c>
      <c r="Z54" s="198"/>
      <c r="AA54" s="198"/>
      <c r="AB54" s="198"/>
      <c r="AC54" s="270">
        <f t="shared" si="9"/>
        <v>0</v>
      </c>
    </row>
    <row r="55" spans="1:29" x14ac:dyDescent="0.25">
      <c r="A55" s="106"/>
      <c r="B55" s="207">
        <v>46993</v>
      </c>
      <c r="C55" s="164">
        <f t="shared" si="5"/>
        <v>33</v>
      </c>
      <c r="E55" s="189"/>
      <c r="F55" s="191">
        <v>2.2954700000000001E-2</v>
      </c>
      <c r="G55" s="198">
        <f t="shared" si="0"/>
        <v>81889856.600000009</v>
      </c>
      <c r="H55" s="199">
        <f>'BNC-A'!I65-'TD-A'!J65+'BMO-A'!H58</f>
        <v>168940.24000000089</v>
      </c>
      <c r="I55" s="198">
        <f t="shared" si="15"/>
        <v>170301.2523456545</v>
      </c>
      <c r="J55" s="229">
        <f t="shared" si="1"/>
        <v>339241.4923456554</v>
      </c>
      <c r="K55" s="101"/>
      <c r="L55" s="198">
        <f t="shared" si="19"/>
        <v>10641975.519999994</v>
      </c>
      <c r="M55" s="199">
        <v>15842.11</v>
      </c>
      <c r="N55" s="198">
        <f t="shared" si="18"/>
        <v>22085.89241226068</v>
      </c>
      <c r="O55" s="229">
        <f t="shared" si="14"/>
        <v>37928.002412260685</v>
      </c>
      <c r="P55" s="101"/>
      <c r="Q55" s="195">
        <f t="shared" si="7"/>
        <v>39000000</v>
      </c>
      <c r="R55" s="195">
        <v>0</v>
      </c>
      <c r="S55" s="197">
        <f t="shared" si="16"/>
        <v>80938.901095890411</v>
      </c>
      <c r="T55" s="230">
        <f t="shared" si="8"/>
        <v>80938.901095890411</v>
      </c>
      <c r="U55" s="101"/>
      <c r="V55" s="192">
        <f t="shared" si="3"/>
        <v>458108.39585380652</v>
      </c>
      <c r="X55" s="207">
        <v>46996</v>
      </c>
      <c r="Y55" s="97">
        <f t="shared" si="17"/>
        <v>4</v>
      </c>
      <c r="Z55" s="198"/>
      <c r="AA55" s="198"/>
      <c r="AB55" s="198"/>
      <c r="AC55" s="270">
        <f t="shared" si="9"/>
        <v>0</v>
      </c>
    </row>
    <row r="56" spans="1:29" x14ac:dyDescent="0.25">
      <c r="A56" s="106"/>
      <c r="B56" s="207">
        <v>47022</v>
      </c>
      <c r="C56" s="164">
        <f t="shared" si="5"/>
        <v>29</v>
      </c>
      <c r="E56" s="189"/>
      <c r="F56" s="191">
        <v>2.2954700000000001E-2</v>
      </c>
      <c r="G56" s="198">
        <f t="shared" si="0"/>
        <v>81697396.070000008</v>
      </c>
      <c r="H56" s="199">
        <f>'BNC-A'!I66-'TD-A'!J66+'BMO-A'!H59</f>
        <v>192460.52999999851</v>
      </c>
      <c r="I56" s="198">
        <f t="shared" si="15"/>
        <v>149350.56341803999</v>
      </c>
      <c r="J56" s="229">
        <f t="shared" si="1"/>
        <v>341811.09341803851</v>
      </c>
      <c r="K56" s="101"/>
      <c r="L56" s="198">
        <f t="shared" si="19"/>
        <v>10626064.459999993</v>
      </c>
      <c r="M56" s="199">
        <v>15911.06</v>
      </c>
      <c r="N56" s="198">
        <f t="shared" si="18"/>
        <v>19379.79598339423</v>
      </c>
      <c r="O56" s="229">
        <f t="shared" si="14"/>
        <v>35290.855983394227</v>
      </c>
      <c r="P56" s="101"/>
      <c r="Q56" s="195">
        <f t="shared" si="7"/>
        <v>39000000</v>
      </c>
      <c r="R56" s="195">
        <v>0</v>
      </c>
      <c r="S56" s="197">
        <f t="shared" si="16"/>
        <v>71128.12520547946</v>
      </c>
      <c r="T56" s="230">
        <f t="shared" si="8"/>
        <v>71128.12520547946</v>
      </c>
      <c r="U56" s="101"/>
      <c r="V56" s="192">
        <f t="shared" si="3"/>
        <v>448230.07460691221</v>
      </c>
      <c r="X56" s="207">
        <v>47026</v>
      </c>
      <c r="Y56" s="97">
        <f t="shared" si="17"/>
        <v>5</v>
      </c>
      <c r="Z56" s="198"/>
      <c r="AA56" s="198"/>
      <c r="AB56" s="198"/>
      <c r="AC56" s="270">
        <f t="shared" si="9"/>
        <v>0</v>
      </c>
    </row>
    <row r="57" spans="1:29" x14ac:dyDescent="0.25">
      <c r="A57" s="106"/>
      <c r="B57" s="207">
        <v>47052</v>
      </c>
      <c r="C57" s="164">
        <f t="shared" si="5"/>
        <v>30</v>
      </c>
      <c r="E57" s="189"/>
      <c r="F57" s="191">
        <v>2.2954700000000001E-2</v>
      </c>
      <c r="G57" s="198">
        <f t="shared" si="0"/>
        <v>81509831.560000002</v>
      </c>
      <c r="H57" s="199">
        <f>'BNC-A'!I67-'TD-A'!J67+'BMO-A'!H60</f>
        <v>187564.50999999972</v>
      </c>
      <c r="I57" s="198">
        <f t="shared" si="15"/>
        <v>154137.4699370983</v>
      </c>
      <c r="J57" s="229">
        <f t="shared" si="1"/>
        <v>341701.97993709799</v>
      </c>
      <c r="K57" s="101"/>
      <c r="L57" s="198">
        <f t="shared" si="19"/>
        <v>10610084.159999993</v>
      </c>
      <c r="M57" s="199">
        <v>15980.3</v>
      </c>
      <c r="N57" s="198">
        <f t="shared" si="18"/>
        <v>20017.91497541522</v>
      </c>
      <c r="O57" s="229">
        <f t="shared" si="14"/>
        <v>35998.21497541522</v>
      </c>
      <c r="P57" s="101"/>
      <c r="Q57" s="195">
        <f t="shared" si="7"/>
        <v>39000000</v>
      </c>
      <c r="R57" s="195">
        <v>0</v>
      </c>
      <c r="S57" s="197">
        <f t="shared" si="16"/>
        <v>73580.819178082194</v>
      </c>
      <c r="T57" s="230">
        <f t="shared" si="8"/>
        <v>73580.819178082194</v>
      </c>
      <c r="U57" s="101"/>
      <c r="V57" s="192">
        <f t="shared" si="3"/>
        <v>451281.01409059542</v>
      </c>
      <c r="X57" s="207">
        <v>47057</v>
      </c>
      <c r="Y57" s="97">
        <f t="shared" si="17"/>
        <v>6</v>
      </c>
      <c r="Z57" s="198"/>
      <c r="AA57" s="198"/>
      <c r="AB57" s="198"/>
      <c r="AC57" s="270">
        <f t="shared" si="9"/>
        <v>0</v>
      </c>
    </row>
    <row r="58" spans="1:29" x14ac:dyDescent="0.25">
      <c r="A58" s="106"/>
      <c r="B58" s="207">
        <v>47084</v>
      </c>
      <c r="C58" s="164">
        <f t="shared" si="5"/>
        <v>32</v>
      </c>
      <c r="E58" s="189"/>
      <c r="F58" s="191">
        <v>2.2954700000000001E-2</v>
      </c>
      <c r="G58" s="198">
        <f t="shared" si="0"/>
        <v>81332823.719999999</v>
      </c>
      <c r="H58" s="199">
        <f>'BNC-A'!I68-'TD-A'!J68+'BMO-A'!H61</f>
        <v>177007.8400000009</v>
      </c>
      <c r="I58" s="198">
        <f t="shared" si="15"/>
        <v>164035.83390775515</v>
      </c>
      <c r="J58" s="229">
        <f t="shared" si="1"/>
        <v>341043.67390775605</v>
      </c>
      <c r="K58" s="101"/>
      <c r="L58" s="198">
        <f t="shared" si="19"/>
        <v>10594034.309999993</v>
      </c>
      <c r="M58" s="199">
        <v>16049.85</v>
      </c>
      <c r="N58" s="198">
        <f t="shared" si="18"/>
        <v>21320.142849381424</v>
      </c>
      <c r="O58" s="229">
        <f t="shared" si="14"/>
        <v>37369.992849381422</v>
      </c>
      <c r="P58" s="101"/>
      <c r="Q58" s="195">
        <f t="shared" si="7"/>
        <v>39000000</v>
      </c>
      <c r="R58" s="195">
        <v>0</v>
      </c>
      <c r="S58" s="197">
        <f t="shared" si="16"/>
        <v>78486.207123287677</v>
      </c>
      <c r="T58" s="230">
        <f t="shared" si="8"/>
        <v>78486.207123287677</v>
      </c>
      <c r="U58" s="101"/>
      <c r="V58" s="192">
        <f t="shared" si="3"/>
        <v>456899.87388042512</v>
      </c>
      <c r="X58" s="207">
        <v>47087</v>
      </c>
      <c r="Y58" s="97">
        <f t="shared" si="17"/>
        <v>4</v>
      </c>
      <c r="Z58" s="198"/>
      <c r="AA58" s="198"/>
      <c r="AB58" s="198"/>
      <c r="AC58" s="270">
        <f t="shared" si="9"/>
        <v>0</v>
      </c>
    </row>
    <row r="59" spans="1:29" x14ac:dyDescent="0.25">
      <c r="A59" s="106"/>
      <c r="B59" s="207">
        <v>47114</v>
      </c>
      <c r="C59" s="164">
        <f t="shared" si="5"/>
        <v>30</v>
      </c>
      <c r="E59" s="189"/>
      <c r="F59" s="191">
        <v>2.2954700000000001E-2</v>
      </c>
      <c r="G59" s="198">
        <f t="shared" si="0"/>
        <v>81143741.599999994</v>
      </c>
      <c r="H59" s="199">
        <f>'BNC-A'!I69-'TD-A'!J69+'BMO-A'!H62</f>
        <v>189082.12000000358</v>
      </c>
      <c r="I59" s="198">
        <f t="shared" si="15"/>
        <v>153449.63577908088</v>
      </c>
      <c r="J59" s="229">
        <f t="shared" si="1"/>
        <v>342531.75577908446</v>
      </c>
      <c r="K59" s="101"/>
      <c r="L59" s="198">
        <f t="shared" si="19"/>
        <v>10577914.609999994</v>
      </c>
      <c r="M59" s="199">
        <v>16119.7</v>
      </c>
      <c r="N59" s="198">
        <f t="shared" si="18"/>
        <v>19957.221082041113</v>
      </c>
      <c r="O59" s="229">
        <f t="shared" si="14"/>
        <v>36076.92108204111</v>
      </c>
      <c r="P59" s="101"/>
      <c r="Q59" s="195">
        <f t="shared" si="7"/>
        <v>39000000</v>
      </c>
      <c r="R59" s="195">
        <v>0</v>
      </c>
      <c r="S59" s="197">
        <f t="shared" si="16"/>
        <v>73580.819178082194</v>
      </c>
      <c r="T59" s="230">
        <f t="shared" si="8"/>
        <v>73580.819178082194</v>
      </c>
      <c r="U59" s="101"/>
      <c r="V59" s="192">
        <f t="shared" si="3"/>
        <v>452189.49603920779</v>
      </c>
      <c r="X59" s="207">
        <v>47118</v>
      </c>
      <c r="Y59" s="97">
        <f t="shared" si="17"/>
        <v>5</v>
      </c>
      <c r="Z59" s="198"/>
      <c r="AA59" s="198"/>
      <c r="AB59" s="198"/>
      <c r="AC59" s="270">
        <f t="shared" si="9"/>
        <v>0</v>
      </c>
    </row>
    <row r="60" spans="1:29" x14ac:dyDescent="0.25">
      <c r="A60" s="106"/>
      <c r="B60" s="207">
        <v>47144</v>
      </c>
      <c r="C60" s="164">
        <f t="shared" si="5"/>
        <v>30</v>
      </c>
      <c r="E60" s="189"/>
      <c r="F60" s="191">
        <v>2.2954700000000001E-2</v>
      </c>
      <c r="G60" s="198">
        <f t="shared" si="0"/>
        <v>80953872.329999998</v>
      </c>
      <c r="H60" s="199">
        <f>'BNC-A'!I70-'TD-A'!J70+'BMO-A'!H63</f>
        <v>189869.26999999673</v>
      </c>
      <c r="I60" s="198">
        <f t="shared" si="15"/>
        <v>153092.89687442631</v>
      </c>
      <c r="J60" s="229">
        <f t="shared" si="1"/>
        <v>342962.16687442304</v>
      </c>
      <c r="K60" s="101"/>
      <c r="L60" s="198">
        <f t="shared" si="19"/>
        <v>10561724.759999994</v>
      </c>
      <c r="M60" s="199">
        <v>16189.85</v>
      </c>
      <c r="N60" s="198">
        <f t="shared" si="18"/>
        <v>19926.675891647006</v>
      </c>
      <c r="O60" s="229">
        <f t="shared" si="14"/>
        <v>36116.525891647005</v>
      </c>
      <c r="P60" s="101"/>
      <c r="Q60" s="195">
        <f t="shared" si="7"/>
        <v>39000000</v>
      </c>
      <c r="R60" s="195">
        <v>0</v>
      </c>
      <c r="S60" s="197">
        <f t="shared" si="16"/>
        <v>73580.819178082194</v>
      </c>
      <c r="T60" s="230">
        <f t="shared" si="8"/>
        <v>73580.819178082194</v>
      </c>
      <c r="U60" s="101"/>
      <c r="V60" s="192">
        <f t="shared" si="3"/>
        <v>452659.51194415218</v>
      </c>
      <c r="X60" s="207">
        <v>47149</v>
      </c>
      <c r="Y60" s="97">
        <f t="shared" si="17"/>
        <v>6</v>
      </c>
      <c r="Z60" s="198"/>
      <c r="AA60" s="198"/>
      <c r="AB60" s="198"/>
      <c r="AC60" s="270">
        <f t="shared" si="9"/>
        <v>0</v>
      </c>
    </row>
    <row r="61" spans="1:29" x14ac:dyDescent="0.25">
      <c r="A61" s="106"/>
      <c r="B61" s="207">
        <v>47175</v>
      </c>
      <c r="C61" s="164">
        <f t="shared" si="5"/>
        <v>31</v>
      </c>
      <c r="E61" s="189"/>
      <c r="F61" s="191">
        <v>2.2954700000000001E-2</v>
      </c>
      <c r="G61" s="198">
        <f t="shared" si="0"/>
        <v>80768843.700000003</v>
      </c>
      <c r="H61" s="199">
        <f>'BNC-A'!I71-'TD-A'!J71+'BMO-A'!H64</f>
        <v>185028.62999999881</v>
      </c>
      <c r="I61" s="198">
        <f t="shared" si="15"/>
        <v>157825.82862569037</v>
      </c>
      <c r="J61" s="229">
        <f t="shared" si="1"/>
        <v>342854.45862568915</v>
      </c>
      <c r="K61" s="101"/>
      <c r="L61" s="198">
        <f t="shared" si="19"/>
        <v>10545464.449999994</v>
      </c>
      <c r="M61" s="199">
        <v>16260.31</v>
      </c>
      <c r="N61" s="198">
        <f t="shared" si="18"/>
        <v>20559.197690747566</v>
      </c>
      <c r="O61" s="229">
        <f t="shared" si="14"/>
        <v>36819.507690747567</v>
      </c>
      <c r="P61" s="101"/>
      <c r="Q61" s="195">
        <f t="shared" si="7"/>
        <v>39000000</v>
      </c>
      <c r="R61" s="195">
        <v>0</v>
      </c>
      <c r="S61" s="197">
        <f t="shared" si="16"/>
        <v>76033.513150684928</v>
      </c>
      <c r="T61" s="230">
        <f t="shared" si="8"/>
        <v>76033.513150684928</v>
      </c>
      <c r="U61" s="101"/>
      <c r="V61" s="192">
        <f t="shared" si="3"/>
        <v>455707.47946712165</v>
      </c>
      <c r="X61" s="207">
        <v>47177</v>
      </c>
      <c r="Y61" s="97">
        <f t="shared" si="17"/>
        <v>3</v>
      </c>
      <c r="Z61" s="198"/>
      <c r="AA61" s="198"/>
      <c r="AB61" s="198"/>
      <c r="AC61" s="270">
        <f t="shared" si="9"/>
        <v>0</v>
      </c>
    </row>
    <row r="62" spans="1:29" x14ac:dyDescent="0.25">
      <c r="A62" s="106"/>
      <c r="B62" s="207">
        <v>47203</v>
      </c>
      <c r="C62" s="164">
        <f t="shared" si="5"/>
        <v>28</v>
      </c>
      <c r="E62" s="189"/>
      <c r="F62" s="191">
        <v>2.2954700000000001E-2</v>
      </c>
      <c r="G62" s="198">
        <f t="shared" si="0"/>
        <v>80566176.870000005</v>
      </c>
      <c r="H62" s="199">
        <f>'BNC-A'!I72-'TD-A'!J72+'BMO-A'!H65</f>
        <v>202666.82999999763</v>
      </c>
      <c r="I62" s="198">
        <f t="shared" si="15"/>
        <v>142226.54285329022</v>
      </c>
      <c r="J62" s="229">
        <f t="shared" si="1"/>
        <v>344893.37285328784</v>
      </c>
      <c r="K62" s="101"/>
      <c r="L62" s="198">
        <f t="shared" si="19"/>
        <v>10529133.379999993</v>
      </c>
      <c r="M62" s="199">
        <v>16331.07</v>
      </c>
      <c r="N62" s="198">
        <f t="shared" si="18"/>
        <v>18540.840394358369</v>
      </c>
      <c r="O62" s="229">
        <f t="shared" si="14"/>
        <v>34871.910394358369</v>
      </c>
      <c r="P62" s="101"/>
      <c r="Q62" s="195">
        <f t="shared" si="7"/>
        <v>39000000</v>
      </c>
      <c r="R62" s="195">
        <v>0</v>
      </c>
      <c r="S62" s="197">
        <f t="shared" si="16"/>
        <v>68675.431232876712</v>
      </c>
      <c r="T62" s="230">
        <f t="shared" si="8"/>
        <v>68675.431232876712</v>
      </c>
      <c r="U62" s="101"/>
      <c r="V62" s="192">
        <f t="shared" si="3"/>
        <v>448440.71448052296</v>
      </c>
      <c r="X62" s="207">
        <v>47208</v>
      </c>
      <c r="Y62" s="97">
        <f t="shared" si="17"/>
        <v>6</v>
      </c>
      <c r="Z62" s="198"/>
      <c r="AA62" s="198"/>
      <c r="AB62" s="198"/>
      <c r="AC62" s="270">
        <f t="shared" si="9"/>
        <v>0</v>
      </c>
    </row>
    <row r="63" spans="1:29" x14ac:dyDescent="0.25">
      <c r="A63" s="106"/>
      <c r="B63" s="207">
        <v>47234</v>
      </c>
      <c r="C63" s="164">
        <f t="shared" si="5"/>
        <v>31</v>
      </c>
      <c r="E63" s="189"/>
      <c r="F63" s="191">
        <v>2.2954700000000001E-2</v>
      </c>
      <c r="G63" s="198">
        <f t="shared" si="0"/>
        <v>80379506.730000004</v>
      </c>
      <c r="H63" s="199">
        <f>'BNC-A'!I73-'TD-A'!J73+'BMO-A'!H66</f>
        <v>186670.13999999643</v>
      </c>
      <c r="I63" s="198">
        <f t="shared" si="15"/>
        <v>157069.98637296291</v>
      </c>
      <c r="J63" s="229">
        <f t="shared" si="1"/>
        <v>343740.12637295935</v>
      </c>
      <c r="K63" s="101"/>
      <c r="L63" s="198">
        <f t="shared" si="19"/>
        <v>10512731.239999993</v>
      </c>
      <c r="M63" s="199">
        <v>16402.14</v>
      </c>
      <c r="N63" s="198">
        <f t="shared" si="18"/>
        <v>20495.381768875788</v>
      </c>
      <c r="O63" s="229">
        <f t="shared" si="14"/>
        <v>36897.521768875784</v>
      </c>
      <c r="P63" s="101"/>
      <c r="Q63" s="195">
        <f t="shared" si="7"/>
        <v>39000000</v>
      </c>
      <c r="R63" s="195">
        <v>0</v>
      </c>
      <c r="S63" s="197">
        <f t="shared" si="16"/>
        <v>76033.513150684928</v>
      </c>
      <c r="T63" s="230">
        <f t="shared" si="8"/>
        <v>76033.513150684928</v>
      </c>
      <c r="U63" s="101"/>
      <c r="V63" s="192">
        <f t="shared" si="3"/>
        <v>456671.16129252006</v>
      </c>
      <c r="X63" s="207">
        <v>47238</v>
      </c>
      <c r="Y63" s="97">
        <f t="shared" si="17"/>
        <v>5</v>
      </c>
      <c r="Z63" s="198"/>
      <c r="AA63" s="198"/>
      <c r="AB63" s="198"/>
      <c r="AC63" s="270">
        <f t="shared" si="9"/>
        <v>0</v>
      </c>
    </row>
    <row r="64" spans="1:29" x14ac:dyDescent="0.25">
      <c r="A64" s="106"/>
      <c r="B64" s="207">
        <v>47266</v>
      </c>
      <c r="C64" s="164">
        <f t="shared" si="5"/>
        <v>32</v>
      </c>
      <c r="E64" s="189"/>
      <c r="F64" s="191">
        <v>2.2954700000000001E-2</v>
      </c>
      <c r="G64" s="198">
        <f t="shared" si="0"/>
        <v>80197637.689999998</v>
      </c>
      <c r="H64" s="199">
        <f>'BNC-A'!I74-'TD-A'!J74+'BMO-A'!H67</f>
        <v>181869.04000000149</v>
      </c>
      <c r="I64" s="198">
        <f t="shared" si="15"/>
        <v>161761.09265842245</v>
      </c>
      <c r="J64" s="229">
        <f t="shared" si="1"/>
        <v>343630.13265842397</v>
      </c>
      <c r="K64" s="101"/>
      <c r="L64" s="198">
        <f t="shared" si="19"/>
        <v>10496257.709999993</v>
      </c>
      <c r="M64" s="199">
        <v>16473.53</v>
      </c>
      <c r="N64" s="198">
        <f t="shared" si="18"/>
        <v>21123.370683242683</v>
      </c>
      <c r="O64" s="229">
        <f t="shared" si="14"/>
        <v>37596.900683242682</v>
      </c>
      <c r="P64" s="101"/>
      <c r="Q64" s="195">
        <f t="shared" si="7"/>
        <v>39000000</v>
      </c>
      <c r="R64" s="195">
        <v>0</v>
      </c>
      <c r="S64" s="197">
        <f t="shared" si="16"/>
        <v>78486.207123287677</v>
      </c>
      <c r="T64" s="230">
        <f t="shared" si="8"/>
        <v>78486.207123287677</v>
      </c>
      <c r="U64" s="101"/>
      <c r="V64" s="192">
        <f t="shared" si="3"/>
        <v>459713.24046495435</v>
      </c>
      <c r="X64" s="207">
        <v>47269</v>
      </c>
      <c r="Y64" s="97">
        <f t="shared" si="17"/>
        <v>4</v>
      </c>
      <c r="Z64" s="198"/>
      <c r="AA64" s="198"/>
      <c r="AB64" s="198"/>
      <c r="AC64" s="270">
        <f t="shared" si="9"/>
        <v>0</v>
      </c>
    </row>
    <row r="65" spans="1:29" x14ac:dyDescent="0.25">
      <c r="A65" s="106"/>
      <c r="B65" s="207">
        <v>47295</v>
      </c>
      <c r="C65" s="164">
        <f t="shared" si="5"/>
        <v>29</v>
      </c>
      <c r="E65" s="189"/>
      <c r="F65" s="191">
        <v>2.2954700000000001E-2</v>
      </c>
      <c r="G65" s="198">
        <f t="shared" si="0"/>
        <v>79998252.310000002</v>
      </c>
      <c r="H65" s="199">
        <f>'BNC-A'!I75-'TD-A'!J75+'BMO-A'!H68</f>
        <v>199385.37999999939</v>
      </c>
      <c r="I65" s="198">
        <f t="shared" si="15"/>
        <v>146264.2978153333</v>
      </c>
      <c r="J65" s="229">
        <f t="shared" si="1"/>
        <v>345649.67781533266</v>
      </c>
      <c r="K65" s="101"/>
      <c r="L65" s="198">
        <f t="shared" si="19"/>
        <v>10479712.489999993</v>
      </c>
      <c r="M65" s="199">
        <v>16545.22</v>
      </c>
      <c r="N65" s="198">
        <f t="shared" si="18"/>
        <v>19112.87954118324</v>
      </c>
      <c r="O65" s="229">
        <f t="shared" si="14"/>
        <v>35658.099541183241</v>
      </c>
      <c r="P65" s="101"/>
      <c r="Q65" s="195">
        <f t="shared" si="7"/>
        <v>39000000</v>
      </c>
      <c r="R65" s="195">
        <v>0</v>
      </c>
      <c r="S65" s="197">
        <f t="shared" si="16"/>
        <v>71128.12520547946</v>
      </c>
      <c r="T65" s="230">
        <f t="shared" si="8"/>
        <v>71128.12520547946</v>
      </c>
      <c r="U65" s="101"/>
      <c r="V65" s="192">
        <f t="shared" si="3"/>
        <v>452435.90256199532</v>
      </c>
      <c r="X65" s="207">
        <v>47299</v>
      </c>
      <c r="Y65" s="97">
        <f t="shared" si="17"/>
        <v>5</v>
      </c>
      <c r="Z65" s="198"/>
      <c r="AA65" s="198"/>
      <c r="AB65" s="198"/>
      <c r="AC65" s="270">
        <f t="shared" si="9"/>
        <v>0</v>
      </c>
    </row>
    <row r="66" spans="1:29" x14ac:dyDescent="0.25">
      <c r="A66" s="106"/>
      <c r="B66" s="209">
        <v>47325</v>
      </c>
      <c r="C66" s="212">
        <f t="shared" si="5"/>
        <v>30</v>
      </c>
      <c r="E66" s="189"/>
      <c r="F66" s="191">
        <v>2.2954700000000001E-2</v>
      </c>
      <c r="G66" s="198">
        <f t="shared" si="0"/>
        <v>79803614.969999999</v>
      </c>
      <c r="H66" s="199">
        <f>'BNC-A'!I76-'TD-A'!J77+'BMO-A'!H69</f>
        <v>194637.34000000314</v>
      </c>
      <c r="I66" s="198">
        <f t="shared" si="15"/>
        <v>150931.71635345402</v>
      </c>
      <c r="J66" s="229">
        <f t="shared" si="1"/>
        <v>345569.05635345716</v>
      </c>
      <c r="K66" s="101"/>
      <c r="L66" s="198">
        <f t="shared" si="19"/>
        <v>10463095.269999992</v>
      </c>
      <c r="M66" s="199">
        <v>16617.22</v>
      </c>
      <c r="N66" s="198">
        <f t="shared" si="18"/>
        <v>19740.592848844015</v>
      </c>
      <c r="O66" s="229">
        <f t="shared" si="14"/>
        <v>36357.812848844012</v>
      </c>
      <c r="P66" s="101"/>
      <c r="Q66" s="195">
        <f t="shared" si="7"/>
        <v>39000000</v>
      </c>
      <c r="R66" s="195">
        <v>0</v>
      </c>
      <c r="S66" s="197">
        <f t="shared" si="16"/>
        <v>73580.819178082194</v>
      </c>
      <c r="T66" s="230">
        <f t="shared" si="8"/>
        <v>73580.819178082194</v>
      </c>
      <c r="U66" s="101"/>
      <c r="V66" s="192">
        <f t="shared" si="3"/>
        <v>455507.6883803833</v>
      </c>
      <c r="X66" s="209">
        <v>47330</v>
      </c>
      <c r="Y66" s="97">
        <f t="shared" si="17"/>
        <v>6</v>
      </c>
      <c r="Z66" s="198"/>
      <c r="AA66" s="198"/>
      <c r="AB66" s="198"/>
      <c r="AC66" s="270">
        <f t="shared" si="9"/>
        <v>0</v>
      </c>
    </row>
    <row r="67" spans="1:29" x14ac:dyDescent="0.25">
      <c r="A67" s="106"/>
      <c r="B67" s="207">
        <v>47357</v>
      </c>
      <c r="C67" s="212">
        <f t="shared" si="5"/>
        <v>32</v>
      </c>
      <c r="E67" s="189"/>
      <c r="F67" s="191">
        <v>2.2954700000000001E-2</v>
      </c>
      <c r="G67" s="198">
        <f t="shared" ref="G67:G125" si="20">G66-H67</f>
        <v>79600970.040000007</v>
      </c>
      <c r="H67" s="199">
        <f>'BNC-A'!I77-'TD-A'!J78+'BMO-A'!H70</f>
        <v>202644.92999999149</v>
      </c>
      <c r="I67" s="198">
        <f t="shared" ref="I67:I125" si="21">(G66*(E67+F67)*C67/365)</f>
        <v>160602.12958262875</v>
      </c>
      <c r="J67" s="229">
        <f t="shared" si="1"/>
        <v>363247.05958262028</v>
      </c>
      <c r="L67" s="198">
        <f t="shared" si="19"/>
        <v>10446405.729999993</v>
      </c>
      <c r="M67" s="199">
        <v>16689.54</v>
      </c>
      <c r="N67" s="198">
        <f t="shared" si="18"/>
        <v>21023.045226119968</v>
      </c>
      <c r="O67" s="229">
        <f t="shared" si="14"/>
        <v>37712.585226119969</v>
      </c>
      <c r="Q67" s="195">
        <f t="shared" ref="Q67:Q125" si="22">Q66-R67</f>
        <v>39000000</v>
      </c>
      <c r="R67" s="195">
        <v>0</v>
      </c>
      <c r="S67" s="197">
        <f t="shared" si="16"/>
        <v>78486.207123287677</v>
      </c>
      <c r="T67" s="230">
        <f t="shared" ref="T67:T125" si="23">R67+S67</f>
        <v>78486.207123287677</v>
      </c>
      <c r="V67" s="192">
        <f t="shared" si="3"/>
        <v>479445.8519320279</v>
      </c>
      <c r="X67" s="207">
        <v>47361</v>
      </c>
      <c r="Y67" s="97">
        <f t="shared" si="17"/>
        <v>5</v>
      </c>
      <c r="Z67" s="198"/>
      <c r="AA67" s="198"/>
      <c r="AB67" s="198"/>
      <c r="AC67" s="270">
        <f t="shared" si="9"/>
        <v>0</v>
      </c>
    </row>
    <row r="68" spans="1:29" x14ac:dyDescent="0.25">
      <c r="A68" s="106"/>
      <c r="B68" s="207">
        <v>47387</v>
      </c>
      <c r="C68" s="212">
        <f t="shared" si="5"/>
        <v>30</v>
      </c>
      <c r="E68" s="189"/>
      <c r="F68" s="191">
        <v>2.2954700000000001E-2</v>
      </c>
      <c r="G68" s="198">
        <f t="shared" si="20"/>
        <v>79406985.900000006</v>
      </c>
      <c r="H68" s="199">
        <f>'BNC-A'!I78-'TD-A'!J79+'BMO-A'!H71</f>
        <v>193984.13999999897</v>
      </c>
      <c r="I68" s="198">
        <f t="shared" si="21"/>
        <v>150182.16879264562</v>
      </c>
      <c r="J68" s="229">
        <f t="shared" si="1"/>
        <v>344166.30879264459</v>
      </c>
      <c r="L68" s="198">
        <f t="shared" si="19"/>
        <v>10429643.549999993</v>
      </c>
      <c r="M68" s="199">
        <v>16762.18</v>
      </c>
      <c r="N68" s="198">
        <f t="shared" si="18"/>
        <v>19677.479901138482</v>
      </c>
      <c r="O68" s="229">
        <f t="shared" si="14"/>
        <v>36439.659901138482</v>
      </c>
      <c r="Q68" s="195">
        <f t="shared" si="22"/>
        <v>39000000</v>
      </c>
      <c r="R68" s="195">
        <v>0</v>
      </c>
      <c r="S68" s="197">
        <f t="shared" si="16"/>
        <v>73580.819178082194</v>
      </c>
      <c r="T68" s="230">
        <f t="shared" si="23"/>
        <v>73580.819178082194</v>
      </c>
      <c r="V68" s="192">
        <f t="shared" si="3"/>
        <v>454186.78787186521</v>
      </c>
      <c r="X68" s="207">
        <v>47391</v>
      </c>
      <c r="Y68" s="97">
        <f t="shared" si="17"/>
        <v>5</v>
      </c>
      <c r="Z68" s="198"/>
      <c r="AA68" s="198"/>
      <c r="AB68" s="198"/>
      <c r="AC68" s="270">
        <f t="shared" si="9"/>
        <v>0</v>
      </c>
    </row>
    <row r="69" spans="1:29" x14ac:dyDescent="0.25">
      <c r="A69" s="106"/>
      <c r="B69" s="207">
        <v>47417</v>
      </c>
      <c r="C69" s="212">
        <f t="shared" si="5"/>
        <v>30</v>
      </c>
      <c r="E69" s="189"/>
      <c r="F69" s="191">
        <v>2.2954700000000001E-2</v>
      </c>
      <c r="G69" s="198">
        <f t="shared" si="20"/>
        <v>79212188.74000001</v>
      </c>
      <c r="H69" s="199">
        <f>'BNC-A'!I79-'TD-A'!J80+'BMO-A'!H72</f>
        <v>194797.16000000239</v>
      </c>
      <c r="I69" s="198">
        <f t="shared" si="21"/>
        <v>149816.18130729289</v>
      </c>
      <c r="J69" s="229">
        <f t="shared" si="1"/>
        <v>344613.34130729525</v>
      </c>
      <c r="L69" s="198">
        <f t="shared" si="19"/>
        <v>10412808.429999994</v>
      </c>
      <c r="M69" s="199">
        <v>16835.12</v>
      </c>
      <c r="N69" s="198">
        <f t="shared" si="18"/>
        <v>19645.717287790758</v>
      </c>
      <c r="O69" s="229">
        <f t="shared" si="14"/>
        <v>36480.837287790753</v>
      </c>
      <c r="Q69" s="195">
        <f t="shared" si="22"/>
        <v>39000000</v>
      </c>
      <c r="R69" s="195">
        <v>0</v>
      </c>
      <c r="S69" s="197">
        <f t="shared" si="16"/>
        <v>73580.819178082194</v>
      </c>
      <c r="T69" s="230">
        <f t="shared" si="23"/>
        <v>73580.819178082194</v>
      </c>
      <c r="V69" s="192">
        <f t="shared" si="3"/>
        <v>454674.99777316814</v>
      </c>
      <c r="X69" s="207">
        <v>47422</v>
      </c>
      <c r="Y69" s="97">
        <f t="shared" si="17"/>
        <v>6</v>
      </c>
      <c r="Z69" s="198"/>
      <c r="AA69" s="198"/>
      <c r="AB69" s="198"/>
      <c r="AC69" s="270">
        <f t="shared" si="9"/>
        <v>0</v>
      </c>
    </row>
    <row r="70" spans="1:29" x14ac:dyDescent="0.25">
      <c r="A70" s="106"/>
      <c r="B70" s="207">
        <v>47448</v>
      </c>
      <c r="C70" s="212">
        <f t="shared" si="5"/>
        <v>31</v>
      </c>
      <c r="E70" s="189"/>
      <c r="F70" s="191">
        <v>2.2954700000000001E-2</v>
      </c>
      <c r="G70" s="198">
        <f t="shared" si="20"/>
        <v>79016575.150000006</v>
      </c>
      <c r="H70" s="199">
        <f>'BNC-A'!I80-'TD-A'!J81+'BMO-A'!H73</f>
        <v>195613.58999999956</v>
      </c>
      <c r="I70" s="198">
        <f t="shared" si="21"/>
        <v>154430.28190403405</v>
      </c>
      <c r="J70" s="229">
        <f t="shared" si="1"/>
        <v>350043.87190403359</v>
      </c>
      <c r="L70" s="198">
        <f t="shared" si="19"/>
        <v>10395900.039999994</v>
      </c>
      <c r="M70" s="199">
        <v>16908.39</v>
      </c>
      <c r="N70" s="198">
        <f t="shared" si="18"/>
        <v>20267.610318065268</v>
      </c>
      <c r="O70" s="229">
        <f t="shared" si="14"/>
        <v>37176.000318065271</v>
      </c>
      <c r="Q70" s="195">
        <f t="shared" si="22"/>
        <v>39000000</v>
      </c>
      <c r="R70" s="195">
        <v>0</v>
      </c>
      <c r="S70" s="197">
        <f t="shared" si="16"/>
        <v>76033.513150684928</v>
      </c>
      <c r="T70" s="230">
        <f t="shared" si="23"/>
        <v>76033.513150684928</v>
      </c>
      <c r="V70" s="192">
        <f t="shared" si="3"/>
        <v>463253.38537278381</v>
      </c>
      <c r="X70" s="207">
        <v>47452</v>
      </c>
      <c r="Y70" s="97">
        <f t="shared" si="17"/>
        <v>5</v>
      </c>
      <c r="Z70" s="198"/>
      <c r="AA70" s="198"/>
      <c r="AB70" s="198"/>
      <c r="AC70" s="270">
        <f t="shared" si="9"/>
        <v>0</v>
      </c>
    </row>
    <row r="71" spans="1:29" x14ac:dyDescent="0.25">
      <c r="A71" s="106"/>
      <c r="B71" s="207">
        <v>47479</v>
      </c>
      <c r="C71" s="212">
        <f t="shared" si="5"/>
        <v>31</v>
      </c>
      <c r="E71" s="189"/>
      <c r="F71" s="191">
        <v>2.2954700000000001E-2</v>
      </c>
      <c r="G71" s="198">
        <f t="shared" si="20"/>
        <v>78820141.700000003</v>
      </c>
      <c r="H71" s="199">
        <f>'BNC-A'!I81-'TD-A'!J82+'BMO-A'!H74</f>
        <v>196433.44999999582</v>
      </c>
      <c r="I71" s="198">
        <f t="shared" si="21"/>
        <v>154048.91809716949</v>
      </c>
      <c r="J71" s="229">
        <f t="shared" si="1"/>
        <v>350482.36809716531</v>
      </c>
      <c r="L71" s="198">
        <f t="shared" si="19"/>
        <v>10378918.059999993</v>
      </c>
      <c r="M71" s="199">
        <v>16981.98</v>
      </c>
      <c r="N71" s="198">
        <f t="shared" si="18"/>
        <v>20234.502636022844</v>
      </c>
      <c r="O71" s="229">
        <f t="shared" si="14"/>
        <v>37216.482636022847</v>
      </c>
      <c r="Q71" s="195">
        <f t="shared" si="22"/>
        <v>39000000</v>
      </c>
      <c r="R71" s="195">
        <v>0</v>
      </c>
      <c r="S71" s="197">
        <f t="shared" ref="S71:S102" si="24">(Q70*(E71+F71)*C71/365)</f>
        <v>76033.513150684928</v>
      </c>
      <c r="T71" s="230">
        <f t="shared" si="23"/>
        <v>76033.513150684928</v>
      </c>
      <c r="V71" s="192">
        <f t="shared" si="3"/>
        <v>463732.3638838731</v>
      </c>
      <c r="X71" s="207">
        <v>47483</v>
      </c>
      <c r="Y71" s="97">
        <f t="shared" si="17"/>
        <v>5</v>
      </c>
      <c r="Z71" s="198"/>
      <c r="AA71" s="198"/>
      <c r="AB71" s="198"/>
      <c r="AC71" s="270">
        <f t="shared" si="9"/>
        <v>0</v>
      </c>
    </row>
    <row r="72" spans="1:29" x14ac:dyDescent="0.25">
      <c r="A72" s="106"/>
      <c r="B72" s="207">
        <v>47511</v>
      </c>
      <c r="C72" s="212">
        <f t="shared" si="5"/>
        <v>32</v>
      </c>
      <c r="E72" s="189"/>
      <c r="F72" s="191">
        <v>2.2954700000000001E-2</v>
      </c>
      <c r="G72" s="198">
        <f t="shared" si="20"/>
        <v>78622884.929999992</v>
      </c>
      <c r="H72" s="199">
        <f>'BNC-A'!I82-'TD-A'!J83+'BMO-A'!H75</f>
        <v>197256.7700000052</v>
      </c>
      <c r="I72" s="198">
        <f t="shared" si="21"/>
        <v>158622.92222956626</v>
      </c>
      <c r="J72" s="229">
        <f t="shared" ref="J72:J125" si="25">I72+H72</f>
        <v>355879.69222957146</v>
      </c>
      <c r="L72" s="198">
        <f t="shared" si="19"/>
        <v>10361862.179999992</v>
      </c>
      <c r="M72" s="199">
        <v>17055.88</v>
      </c>
      <c r="N72" s="198">
        <f t="shared" si="18"/>
        <v>20852.904134421555</v>
      </c>
      <c r="O72" s="229">
        <f t="shared" si="14"/>
        <v>37908.784134421556</v>
      </c>
      <c r="Q72" s="195">
        <f t="shared" si="22"/>
        <v>39000000</v>
      </c>
      <c r="R72" s="195">
        <v>0</v>
      </c>
      <c r="S72" s="197">
        <f t="shared" si="24"/>
        <v>78486.207123287677</v>
      </c>
      <c r="T72" s="230">
        <f t="shared" si="23"/>
        <v>78486.207123287677</v>
      </c>
      <c r="V72" s="192">
        <f t="shared" ref="V72:V125" si="26">J72+O72+T72</f>
        <v>472274.68348728068</v>
      </c>
      <c r="X72" s="207">
        <v>47514</v>
      </c>
      <c r="Y72" s="97">
        <f t="shared" ref="Y72:Y103" si="27">X72-B72+1</f>
        <v>4</v>
      </c>
      <c r="Z72" s="198"/>
      <c r="AA72" s="198"/>
      <c r="AB72" s="198"/>
      <c r="AC72" s="270">
        <f t="shared" si="9"/>
        <v>0</v>
      </c>
    </row>
    <row r="73" spans="1:29" x14ac:dyDescent="0.25">
      <c r="A73" s="106"/>
      <c r="B73" s="207">
        <v>47540</v>
      </c>
      <c r="C73" s="212">
        <f t="shared" ref="C73:C125" si="28">B73-B72</f>
        <v>29</v>
      </c>
      <c r="E73" s="189"/>
      <c r="F73" s="191">
        <v>2.2954700000000001E-2</v>
      </c>
      <c r="G73" s="198">
        <f t="shared" si="20"/>
        <v>78424801.409999996</v>
      </c>
      <c r="H73" s="199">
        <f>'BNC-A'!I83-'TD-A'!J84+'BMO-A'!H76</f>
        <v>198083.52000000089</v>
      </c>
      <c r="I73" s="198">
        <f t="shared" si="21"/>
        <v>143392.26675171909</v>
      </c>
      <c r="J73" s="229">
        <f t="shared" si="25"/>
        <v>341475.78675172001</v>
      </c>
      <c r="L73" s="198">
        <f t="shared" si="19"/>
        <v>10344732.069999993</v>
      </c>
      <c r="M73" s="199">
        <v>17130.11</v>
      </c>
      <c r="N73" s="198">
        <f t="shared" si="18"/>
        <v>18866.702510053801</v>
      </c>
      <c r="O73" s="229">
        <f t="shared" si="14"/>
        <v>35996.812510053802</v>
      </c>
      <c r="Q73" s="195">
        <f t="shared" si="22"/>
        <v>39000000</v>
      </c>
      <c r="R73" s="195">
        <v>0</v>
      </c>
      <c r="S73" s="197">
        <f t="shared" si="24"/>
        <v>71128.12520547946</v>
      </c>
      <c r="T73" s="230">
        <f t="shared" si="23"/>
        <v>71128.12520547946</v>
      </c>
      <c r="V73" s="192">
        <f t="shared" si="26"/>
        <v>448600.72446725325</v>
      </c>
      <c r="X73" s="207">
        <v>47542</v>
      </c>
      <c r="Y73" s="97">
        <f t="shared" si="27"/>
        <v>3</v>
      </c>
      <c r="Z73" s="198"/>
      <c r="AA73" s="198"/>
      <c r="AB73" s="198"/>
      <c r="AC73" s="270">
        <f t="shared" ref="AC73:AC125" si="29">Z73+AA73+AB73</f>
        <v>0</v>
      </c>
    </row>
    <row r="74" spans="1:29" x14ac:dyDescent="0.25">
      <c r="A74" s="106"/>
      <c r="B74" s="207">
        <v>47568</v>
      </c>
      <c r="C74" s="212">
        <f t="shared" si="28"/>
        <v>28</v>
      </c>
      <c r="E74" s="189"/>
      <c r="F74" s="191">
        <v>2.2954700000000001E-2</v>
      </c>
      <c r="G74" s="198">
        <f t="shared" si="20"/>
        <v>78225887.640000001</v>
      </c>
      <c r="H74" s="199">
        <f>'BNC-A'!I84-'TD-A'!J85+'BMO-A'!H77</f>
        <v>198913.76999999807</v>
      </c>
      <c r="I74" s="198">
        <f t="shared" si="21"/>
        <v>138098.89887652482</v>
      </c>
      <c r="J74" s="229">
        <f t="shared" si="25"/>
        <v>337012.66887652292</v>
      </c>
      <c r="L74" s="198">
        <f t="shared" si="19"/>
        <v>10327527.409999993</v>
      </c>
      <c r="M74" s="199">
        <v>17204.66</v>
      </c>
      <c r="N74" s="198">
        <f t="shared" si="18"/>
        <v>18185.830729515485</v>
      </c>
      <c r="O74" s="229">
        <f t="shared" si="14"/>
        <v>35390.490729515484</v>
      </c>
      <c r="Q74" s="195">
        <f t="shared" si="22"/>
        <v>39000000</v>
      </c>
      <c r="R74" s="195">
        <v>0</v>
      </c>
      <c r="S74" s="197">
        <f t="shared" si="24"/>
        <v>68675.431232876712</v>
      </c>
      <c r="T74" s="230">
        <f t="shared" si="23"/>
        <v>68675.431232876712</v>
      </c>
      <c r="V74" s="192">
        <f t="shared" si="26"/>
        <v>441078.59083891514</v>
      </c>
      <c r="X74" s="207">
        <v>47573</v>
      </c>
      <c r="Y74" s="97">
        <f t="shared" si="27"/>
        <v>6</v>
      </c>
      <c r="Z74" s="198"/>
      <c r="AA74" s="198"/>
      <c r="AB74" s="198"/>
      <c r="AC74" s="270">
        <f t="shared" si="29"/>
        <v>0</v>
      </c>
    </row>
    <row r="75" spans="1:29" x14ac:dyDescent="0.25">
      <c r="A75" s="106"/>
      <c r="B75" s="207">
        <v>47599</v>
      </c>
      <c r="C75" s="212">
        <f t="shared" si="28"/>
        <v>31</v>
      </c>
      <c r="E75" s="189"/>
      <c r="F75" s="191">
        <v>2.2954700000000001E-2</v>
      </c>
      <c r="G75" s="198">
        <f t="shared" si="20"/>
        <v>78026140.160000011</v>
      </c>
      <c r="H75" s="199">
        <f>'BNC-A'!I85-'TD-A'!J86+'BMO-A'!H78</f>
        <v>199747.47999999553</v>
      </c>
      <c r="I75" s="198">
        <f t="shared" si="21"/>
        <v>152507.41170769083</v>
      </c>
      <c r="J75" s="229">
        <f t="shared" si="25"/>
        <v>352254.89170768636</v>
      </c>
      <c r="L75" s="198">
        <f t="shared" si="19"/>
        <v>10310247.879999993</v>
      </c>
      <c r="M75" s="199">
        <v>17279.53</v>
      </c>
      <c r="N75" s="198">
        <f t="shared" si="18"/>
        <v>20100.624814635921</v>
      </c>
      <c r="O75" s="229">
        <f t="shared" si="14"/>
        <v>37380.15481463592</v>
      </c>
      <c r="Q75" s="195">
        <f t="shared" si="22"/>
        <v>39000000</v>
      </c>
      <c r="R75" s="195">
        <v>0</v>
      </c>
      <c r="S75" s="197">
        <f t="shared" si="24"/>
        <v>76033.513150684928</v>
      </c>
      <c r="T75" s="230">
        <f t="shared" si="23"/>
        <v>76033.513150684928</v>
      </c>
      <c r="V75" s="192">
        <f t="shared" si="26"/>
        <v>465668.55967300723</v>
      </c>
      <c r="X75" s="207">
        <v>47603</v>
      </c>
      <c r="Y75" s="97">
        <f t="shared" si="27"/>
        <v>5</v>
      </c>
      <c r="Z75" s="198"/>
      <c r="AA75" s="198"/>
      <c r="AB75" s="198"/>
      <c r="AC75" s="270">
        <f t="shared" si="29"/>
        <v>0</v>
      </c>
    </row>
    <row r="76" spans="1:29" x14ac:dyDescent="0.25">
      <c r="A76" s="106"/>
      <c r="B76" s="207">
        <v>47630</v>
      </c>
      <c r="C76" s="212">
        <f t="shared" si="28"/>
        <v>31</v>
      </c>
      <c r="E76" s="189"/>
      <c r="F76" s="191">
        <v>2.2954700000000001E-2</v>
      </c>
      <c r="G76" s="198">
        <f t="shared" si="20"/>
        <v>77825555.450000003</v>
      </c>
      <c r="H76" s="199">
        <f>'BNC-A'!I86-'TD-A'!J87+'BMO-A'!H79</f>
        <v>200584.71000000357</v>
      </c>
      <c r="I76" s="198">
        <f t="shared" si="21"/>
        <v>152117.98856288582</v>
      </c>
      <c r="J76" s="229">
        <f t="shared" si="25"/>
        <v>352702.69856288936</v>
      </c>
      <c r="L76" s="198">
        <f t="shared" si="19"/>
        <v>10292893.149999993</v>
      </c>
      <c r="M76" s="199">
        <v>17354.73</v>
      </c>
      <c r="N76" s="198">
        <f t="shared" ref="N76:N107" si="30">(L76*(E76+F76)*C76/365)</f>
        <v>20066.790427669726</v>
      </c>
      <c r="O76" s="229">
        <f t="shared" si="14"/>
        <v>37421.520427669726</v>
      </c>
      <c r="Q76" s="195">
        <f t="shared" si="22"/>
        <v>39000000</v>
      </c>
      <c r="R76" s="195">
        <v>0</v>
      </c>
      <c r="S76" s="197">
        <f t="shared" si="24"/>
        <v>76033.513150684928</v>
      </c>
      <c r="T76" s="230">
        <f t="shared" si="23"/>
        <v>76033.513150684928</v>
      </c>
      <c r="V76" s="192">
        <f t="shared" si="26"/>
        <v>466157.73214124405</v>
      </c>
      <c r="X76" s="207">
        <v>47634</v>
      </c>
      <c r="Y76" s="97">
        <f t="shared" si="27"/>
        <v>5</v>
      </c>
      <c r="Z76" s="198"/>
      <c r="AA76" s="198"/>
      <c r="AB76" s="198"/>
      <c r="AC76" s="270">
        <f t="shared" si="29"/>
        <v>0</v>
      </c>
    </row>
    <row r="77" spans="1:29" x14ac:dyDescent="0.25">
      <c r="A77" s="106"/>
      <c r="B77" s="207">
        <v>47660</v>
      </c>
      <c r="C77" s="212">
        <f t="shared" si="28"/>
        <v>30</v>
      </c>
      <c r="E77" s="189"/>
      <c r="F77" s="191">
        <v>2.2954700000000001E-2</v>
      </c>
      <c r="G77" s="198">
        <f t="shared" si="20"/>
        <v>77624129.99000001</v>
      </c>
      <c r="H77" s="199">
        <f>'BNC-A'!I87-'TD-A'!J88+'BMO-A'!H80</f>
        <v>201425.45999999775</v>
      </c>
      <c r="I77" s="198">
        <f t="shared" si="21"/>
        <v>146832.51597436561</v>
      </c>
      <c r="J77" s="229">
        <f t="shared" si="25"/>
        <v>348257.97597436339</v>
      </c>
      <c r="L77" s="198">
        <f t="shared" ref="L77:L108" si="31">L76-M77</f>
        <v>10275462.889999993</v>
      </c>
      <c r="M77" s="199">
        <v>17430.259999999998</v>
      </c>
      <c r="N77" s="198">
        <f t="shared" si="30"/>
        <v>19386.589150773936</v>
      </c>
      <c r="O77" s="229">
        <f t="shared" ref="O77:O125" si="32">N77+M77</f>
        <v>36816.849150773938</v>
      </c>
      <c r="Q77" s="195">
        <f t="shared" si="22"/>
        <v>39000000</v>
      </c>
      <c r="R77" s="195">
        <v>0</v>
      </c>
      <c r="S77" s="197">
        <f t="shared" si="24"/>
        <v>73580.819178082194</v>
      </c>
      <c r="T77" s="230">
        <f t="shared" si="23"/>
        <v>73580.819178082194</v>
      </c>
      <c r="V77" s="192">
        <f t="shared" si="26"/>
        <v>458655.64430321951</v>
      </c>
      <c r="X77" s="207">
        <v>47664</v>
      </c>
      <c r="Y77" s="97">
        <f t="shared" si="27"/>
        <v>5</v>
      </c>
      <c r="Z77" s="198"/>
      <c r="AA77" s="198"/>
      <c r="AB77" s="198"/>
      <c r="AC77" s="270">
        <f t="shared" si="29"/>
        <v>0</v>
      </c>
    </row>
    <row r="78" spans="1:29" x14ac:dyDescent="0.25">
      <c r="A78" s="106"/>
      <c r="B78" s="207">
        <v>47690</v>
      </c>
      <c r="C78" s="212">
        <f t="shared" si="28"/>
        <v>30</v>
      </c>
      <c r="E78" s="189"/>
      <c r="F78" s="191">
        <v>2.2954700000000001E-2</v>
      </c>
      <c r="G78" s="198">
        <f t="shared" si="20"/>
        <v>77421860.260000005</v>
      </c>
      <c r="H78" s="199">
        <f>'BNC-A'!I88-'TD-A'!J89+'BMO-A'!H81</f>
        <v>202269.72999999882</v>
      </c>
      <c r="I78" s="198">
        <f t="shared" si="21"/>
        <v>146452.48904231124</v>
      </c>
      <c r="J78" s="229">
        <f t="shared" si="25"/>
        <v>348722.21904231003</v>
      </c>
      <c r="L78" s="198">
        <f t="shared" si="31"/>
        <v>10257956.769999994</v>
      </c>
      <c r="M78" s="199">
        <v>17506.12</v>
      </c>
      <c r="N78" s="198">
        <f t="shared" si="30"/>
        <v>19353.560569998812</v>
      </c>
      <c r="O78" s="229">
        <f t="shared" si="32"/>
        <v>36859.680569998811</v>
      </c>
      <c r="Q78" s="195">
        <f t="shared" si="22"/>
        <v>39000000</v>
      </c>
      <c r="R78" s="195">
        <v>0</v>
      </c>
      <c r="S78" s="197">
        <f t="shared" si="24"/>
        <v>73580.819178082194</v>
      </c>
      <c r="T78" s="230">
        <f t="shared" si="23"/>
        <v>73580.819178082194</v>
      </c>
      <c r="V78" s="192">
        <f t="shared" si="26"/>
        <v>459162.71879039099</v>
      </c>
      <c r="X78" s="207">
        <v>47695</v>
      </c>
      <c r="Y78" s="97">
        <f t="shared" si="27"/>
        <v>6</v>
      </c>
      <c r="Z78" s="198"/>
      <c r="AA78" s="198"/>
      <c r="AB78" s="198"/>
      <c r="AC78" s="270">
        <f t="shared" si="29"/>
        <v>0</v>
      </c>
    </row>
    <row r="79" spans="1:29" x14ac:dyDescent="0.25">
      <c r="A79" s="106"/>
      <c r="B79" s="207">
        <v>47721</v>
      </c>
      <c r="C79" s="212">
        <f t="shared" si="28"/>
        <v>31</v>
      </c>
      <c r="E79" s="189"/>
      <c r="F79" s="191">
        <v>2.2954700000000001E-2</v>
      </c>
      <c r="G79" s="198">
        <f t="shared" si="20"/>
        <v>77218742.719999999</v>
      </c>
      <c r="H79" s="199">
        <f>'BNC-A'!I89-'TD-A'!J90+'BMO-A'!H82</f>
        <v>203117.54000000417</v>
      </c>
      <c r="I79" s="198">
        <f t="shared" si="21"/>
        <v>150939.89821100517</v>
      </c>
      <c r="J79" s="229">
        <f t="shared" si="25"/>
        <v>354057.43821100937</v>
      </c>
      <c r="L79" s="198">
        <f t="shared" si="31"/>
        <v>10240374.469999993</v>
      </c>
      <c r="M79" s="199">
        <v>17582.3</v>
      </c>
      <c r="N79" s="198">
        <f t="shared" si="30"/>
        <v>19964.401203402122</v>
      </c>
      <c r="O79" s="229">
        <f t="shared" si="32"/>
        <v>37546.701203402117</v>
      </c>
      <c r="Q79" s="195">
        <f t="shared" si="22"/>
        <v>39000000</v>
      </c>
      <c r="R79" s="195">
        <v>0</v>
      </c>
      <c r="S79" s="197">
        <f t="shared" si="24"/>
        <v>76033.513150684928</v>
      </c>
      <c r="T79" s="230">
        <f t="shared" si="23"/>
        <v>76033.513150684928</v>
      </c>
      <c r="V79" s="192">
        <f t="shared" si="26"/>
        <v>467637.65256509645</v>
      </c>
      <c r="X79" s="207">
        <v>47726</v>
      </c>
      <c r="Y79" s="97">
        <f t="shared" si="27"/>
        <v>6</v>
      </c>
      <c r="Z79" s="198"/>
      <c r="AA79" s="198"/>
      <c r="AB79" s="198"/>
      <c r="AC79" s="270">
        <f t="shared" si="29"/>
        <v>0</v>
      </c>
    </row>
    <row r="80" spans="1:29" x14ac:dyDescent="0.25">
      <c r="A80" s="106"/>
      <c r="B80" s="207">
        <v>47752</v>
      </c>
      <c r="C80" s="212">
        <f t="shared" si="28"/>
        <v>31</v>
      </c>
      <c r="E80" s="189"/>
      <c r="F80" s="191">
        <v>2.2954700000000001E-2</v>
      </c>
      <c r="G80" s="198">
        <f t="shared" si="20"/>
        <v>77014773.810000002</v>
      </c>
      <c r="H80" s="199">
        <f>'BNC-A'!I90-'TD-A'!J91+'BMO-A'!H83</f>
        <v>203968.90999999896</v>
      </c>
      <c r="I80" s="198">
        <f t="shared" si="21"/>
        <v>150543.90487385838</v>
      </c>
      <c r="J80" s="229">
        <f t="shared" si="25"/>
        <v>354512.81487385731</v>
      </c>
      <c r="L80" s="198">
        <f t="shared" si="31"/>
        <v>10222715.649999993</v>
      </c>
      <c r="M80" s="199">
        <v>17658.82</v>
      </c>
      <c r="N80" s="198">
        <f t="shared" si="30"/>
        <v>19929.973969486851</v>
      </c>
      <c r="O80" s="229">
        <f t="shared" si="32"/>
        <v>37588.793969486855</v>
      </c>
      <c r="Q80" s="195">
        <f t="shared" si="22"/>
        <v>39000000</v>
      </c>
      <c r="R80" s="195">
        <v>0</v>
      </c>
      <c r="S80" s="197">
        <f t="shared" si="24"/>
        <v>76033.513150684928</v>
      </c>
      <c r="T80" s="230">
        <f t="shared" si="23"/>
        <v>76033.513150684928</v>
      </c>
      <c r="V80" s="192">
        <f t="shared" si="26"/>
        <v>468135.12199402909</v>
      </c>
      <c r="X80" s="207">
        <v>47756</v>
      </c>
      <c r="Y80" s="97">
        <f t="shared" si="27"/>
        <v>5</v>
      </c>
      <c r="Z80" s="198"/>
      <c r="AA80" s="198"/>
      <c r="AB80" s="198"/>
      <c r="AC80" s="270">
        <f t="shared" si="29"/>
        <v>0</v>
      </c>
    </row>
    <row r="81" spans="1:29" x14ac:dyDescent="0.25">
      <c r="A81" s="106"/>
      <c r="B81" s="207">
        <v>47784</v>
      </c>
      <c r="C81" s="212">
        <f t="shared" si="28"/>
        <v>32</v>
      </c>
      <c r="E81" s="189"/>
      <c r="F81" s="191">
        <v>2.2954700000000001E-2</v>
      </c>
      <c r="G81" s="198">
        <f t="shared" si="20"/>
        <v>76809949.940000013</v>
      </c>
      <c r="H81" s="199">
        <f>'BNC-A'!I91-'TD-A'!J92+'BMO-A'!H84</f>
        <v>204823.86999999551</v>
      </c>
      <c r="I81" s="198">
        <f t="shared" si="21"/>
        <v>154989.67920012338</v>
      </c>
      <c r="J81" s="229">
        <f t="shared" si="25"/>
        <v>359813.54920011887</v>
      </c>
      <c r="L81" s="198">
        <f t="shared" si="31"/>
        <v>10204979.979999993</v>
      </c>
      <c r="M81" s="199">
        <v>17735.669999999998</v>
      </c>
      <c r="N81" s="198">
        <f t="shared" si="30"/>
        <v>20537.183907673938</v>
      </c>
      <c r="O81" s="229">
        <f t="shared" si="32"/>
        <v>38272.85390767394</v>
      </c>
      <c r="Q81" s="195">
        <f t="shared" si="22"/>
        <v>39000000</v>
      </c>
      <c r="R81" s="195">
        <v>0</v>
      </c>
      <c r="S81" s="197">
        <f t="shared" si="24"/>
        <v>78486.207123287677</v>
      </c>
      <c r="T81" s="230">
        <f t="shared" si="23"/>
        <v>78486.207123287677</v>
      </c>
      <c r="V81" s="192">
        <f t="shared" si="26"/>
        <v>476572.6102310805</v>
      </c>
      <c r="X81" s="207">
        <v>47787</v>
      </c>
      <c r="Y81" s="97">
        <f t="shared" si="27"/>
        <v>4</v>
      </c>
      <c r="Z81" s="198"/>
      <c r="AA81" s="198"/>
      <c r="AB81" s="198"/>
      <c r="AC81" s="270">
        <f t="shared" si="29"/>
        <v>0</v>
      </c>
    </row>
    <row r="82" spans="1:29" x14ac:dyDescent="0.25">
      <c r="A82" s="106"/>
      <c r="B82" s="207">
        <v>47813</v>
      </c>
      <c r="C82" s="212">
        <f t="shared" si="28"/>
        <v>29</v>
      </c>
      <c r="E82" s="189"/>
      <c r="F82" s="191">
        <v>2.2954700000000001E-2</v>
      </c>
      <c r="G82" s="198">
        <f t="shared" si="20"/>
        <v>76604267.530000016</v>
      </c>
      <c r="H82" s="199">
        <f>'BNC-A'!I92-'TD-A'!J93+'BMO-A'!H85</f>
        <v>205682.41000000134</v>
      </c>
      <c r="I82" s="198">
        <f t="shared" si="21"/>
        <v>140085.83939381872</v>
      </c>
      <c r="J82" s="229">
        <f t="shared" si="25"/>
        <v>345768.24939382006</v>
      </c>
      <c r="L82" s="198">
        <f t="shared" si="31"/>
        <v>10187167.119999994</v>
      </c>
      <c r="M82" s="199">
        <v>17812.86</v>
      </c>
      <c r="N82" s="198">
        <f t="shared" si="30"/>
        <v>18579.335856423153</v>
      </c>
      <c r="O82" s="229">
        <f t="shared" si="32"/>
        <v>36392.195856423154</v>
      </c>
      <c r="Q82" s="195">
        <f t="shared" si="22"/>
        <v>39000000</v>
      </c>
      <c r="R82" s="195">
        <v>0</v>
      </c>
      <c r="S82" s="197">
        <f t="shared" si="24"/>
        <v>71128.12520547946</v>
      </c>
      <c r="T82" s="230">
        <f t="shared" si="23"/>
        <v>71128.12520547946</v>
      </c>
      <c r="V82" s="192">
        <f t="shared" si="26"/>
        <v>453288.57045572269</v>
      </c>
      <c r="X82" s="207">
        <v>47817</v>
      </c>
      <c r="Y82" s="97">
        <f t="shared" si="27"/>
        <v>5</v>
      </c>
      <c r="Z82" s="198"/>
      <c r="AA82" s="198"/>
      <c r="AB82" s="198"/>
      <c r="AC82" s="270">
        <f t="shared" si="29"/>
        <v>0</v>
      </c>
    </row>
    <row r="83" spans="1:29" x14ac:dyDescent="0.25">
      <c r="A83" s="106"/>
      <c r="B83" s="207">
        <v>47844</v>
      </c>
      <c r="C83" s="212">
        <f t="shared" si="28"/>
        <v>31</v>
      </c>
      <c r="E83" s="189"/>
      <c r="F83" s="191">
        <v>2.2954700000000001E-2</v>
      </c>
      <c r="G83" s="198">
        <f t="shared" si="20"/>
        <v>76397722.970000014</v>
      </c>
      <c r="H83" s="199">
        <f>'BNC-A'!I93-'TD-A'!J94+'BMO-A'!H86</f>
        <v>206544.56000000314</v>
      </c>
      <c r="I83" s="198">
        <f t="shared" si="21"/>
        <v>149345.93801643187</v>
      </c>
      <c r="J83" s="229">
        <f t="shared" si="25"/>
        <v>355890.49801643501</v>
      </c>
      <c r="L83" s="198">
        <f t="shared" si="31"/>
        <v>10169276.739999993</v>
      </c>
      <c r="M83" s="199">
        <v>17890.38</v>
      </c>
      <c r="N83" s="198">
        <f t="shared" si="30"/>
        <v>19825.790685737022</v>
      </c>
      <c r="O83" s="229">
        <f t="shared" si="32"/>
        <v>37716.170685737023</v>
      </c>
      <c r="Q83" s="195">
        <f t="shared" si="22"/>
        <v>39000000</v>
      </c>
      <c r="R83" s="195">
        <v>0</v>
      </c>
      <c r="S83" s="197">
        <f t="shared" si="24"/>
        <v>76033.513150684928</v>
      </c>
      <c r="T83" s="230">
        <f t="shared" si="23"/>
        <v>76033.513150684928</v>
      </c>
      <c r="V83" s="192">
        <f t="shared" si="26"/>
        <v>469640.181852857</v>
      </c>
      <c r="X83" s="207">
        <v>47848</v>
      </c>
      <c r="Y83" s="97">
        <f t="shared" si="27"/>
        <v>5</v>
      </c>
      <c r="Z83" s="198"/>
      <c r="AA83" s="198"/>
      <c r="AB83" s="198"/>
      <c r="AC83" s="270">
        <f t="shared" si="29"/>
        <v>0</v>
      </c>
    </row>
    <row r="84" spans="1:29" x14ac:dyDescent="0.25">
      <c r="A84" s="106"/>
      <c r="B84" s="207">
        <v>47875</v>
      </c>
      <c r="C84" s="212">
        <f t="shared" si="28"/>
        <v>31</v>
      </c>
      <c r="E84" s="189"/>
      <c r="F84" s="191">
        <v>2.2954700000000001E-2</v>
      </c>
      <c r="G84" s="198">
        <f t="shared" si="20"/>
        <v>76190312.650000021</v>
      </c>
      <c r="H84" s="199">
        <f>'BNC-A'!I94-'TD-A'!J95+'BMO-A'!H87</f>
        <v>207410.31999999881</v>
      </c>
      <c r="I84" s="198">
        <f t="shared" si="21"/>
        <v>148943.26343902259</v>
      </c>
      <c r="J84" s="229">
        <f t="shared" si="25"/>
        <v>356353.58343902137</v>
      </c>
      <c r="L84" s="198">
        <f t="shared" si="31"/>
        <v>10151308.499999993</v>
      </c>
      <c r="M84" s="199">
        <v>17968.240000000002</v>
      </c>
      <c r="N84" s="198">
        <f t="shared" si="30"/>
        <v>19790.760213625876</v>
      </c>
      <c r="O84" s="229">
        <f t="shared" si="32"/>
        <v>37759.000213625877</v>
      </c>
      <c r="Q84" s="195">
        <f t="shared" si="22"/>
        <v>39000000</v>
      </c>
      <c r="R84" s="195">
        <v>0</v>
      </c>
      <c r="S84" s="197">
        <f t="shared" si="24"/>
        <v>76033.513150684928</v>
      </c>
      <c r="T84" s="230">
        <f t="shared" si="23"/>
        <v>76033.513150684928</v>
      </c>
      <c r="V84" s="192">
        <f t="shared" si="26"/>
        <v>470146.09680333221</v>
      </c>
      <c r="X84" s="207">
        <v>47879</v>
      </c>
      <c r="Y84" s="97">
        <f t="shared" si="27"/>
        <v>5</v>
      </c>
      <c r="Z84" s="198"/>
      <c r="AA84" s="198"/>
      <c r="AB84" s="198"/>
      <c r="AC84" s="270">
        <f t="shared" si="29"/>
        <v>0</v>
      </c>
    </row>
    <row r="85" spans="1:29" x14ac:dyDescent="0.25">
      <c r="A85" s="106"/>
      <c r="B85" s="207">
        <v>47905</v>
      </c>
      <c r="C85" s="212">
        <f t="shared" si="28"/>
        <v>30</v>
      </c>
      <c r="E85" s="189"/>
      <c r="F85" s="191">
        <v>2.2954700000000001E-2</v>
      </c>
      <c r="G85" s="198">
        <f t="shared" si="20"/>
        <v>75982032.910000011</v>
      </c>
      <c r="H85" s="199">
        <f>'BNC-A'!I95-'TD-A'!J96+'BMO-A'!H88</f>
        <v>208279.74000000447</v>
      </c>
      <c r="I85" s="198">
        <f t="shared" si="21"/>
        <v>143747.32354413334</v>
      </c>
      <c r="J85" s="229">
        <f t="shared" si="25"/>
        <v>352027.06354413781</v>
      </c>
      <c r="L85" s="198">
        <f t="shared" si="31"/>
        <v>10133262.059999993</v>
      </c>
      <c r="M85" s="199">
        <v>18046.439999999999</v>
      </c>
      <c r="N85" s="198">
        <f t="shared" si="30"/>
        <v>19118.300597973852</v>
      </c>
      <c r="O85" s="229">
        <f t="shared" si="32"/>
        <v>37164.740597973854</v>
      </c>
      <c r="Q85" s="195">
        <f t="shared" si="22"/>
        <v>39000000</v>
      </c>
      <c r="R85" s="195">
        <v>0</v>
      </c>
      <c r="S85" s="197">
        <f t="shared" si="24"/>
        <v>73580.819178082194</v>
      </c>
      <c r="T85" s="230">
        <f t="shared" si="23"/>
        <v>73580.819178082194</v>
      </c>
      <c r="V85" s="192">
        <f t="shared" si="26"/>
        <v>462772.62332019384</v>
      </c>
      <c r="X85" s="207">
        <v>47907</v>
      </c>
      <c r="Y85" s="97">
        <f t="shared" si="27"/>
        <v>3</v>
      </c>
      <c r="Z85" s="198"/>
      <c r="AA85" s="198"/>
      <c r="AB85" s="198"/>
      <c r="AC85" s="270">
        <f t="shared" si="29"/>
        <v>0</v>
      </c>
    </row>
    <row r="86" spans="1:29" x14ac:dyDescent="0.25">
      <c r="A86" s="106"/>
      <c r="B86" s="207">
        <v>47933</v>
      </c>
      <c r="C86" s="212">
        <f t="shared" si="28"/>
        <v>28</v>
      </c>
      <c r="E86" s="189"/>
      <c r="F86" s="191">
        <v>2.2954700000000001E-2</v>
      </c>
      <c r="G86" s="198">
        <f t="shared" si="20"/>
        <v>75772880.12000002</v>
      </c>
      <c r="H86" s="199">
        <f>'BNC-A'!I96-'TD-A'!J97+'BMO-A'!H89</f>
        <v>209152.78999999614</v>
      </c>
      <c r="I86" s="198">
        <f t="shared" si="21"/>
        <v>133797.40707807388</v>
      </c>
      <c r="J86" s="229">
        <f t="shared" si="25"/>
        <v>342950.19707807002</v>
      </c>
      <c r="L86" s="198">
        <f t="shared" si="31"/>
        <v>10115137.079999993</v>
      </c>
      <c r="M86" s="199">
        <v>18124.98</v>
      </c>
      <c r="N86" s="198">
        <f t="shared" si="30"/>
        <v>17811.830793555408</v>
      </c>
      <c r="O86" s="229">
        <f t="shared" si="32"/>
        <v>35936.810793555407</v>
      </c>
      <c r="Q86" s="195">
        <f t="shared" si="22"/>
        <v>39000000</v>
      </c>
      <c r="R86" s="195">
        <v>0</v>
      </c>
      <c r="S86" s="197">
        <f t="shared" si="24"/>
        <v>68675.431232876712</v>
      </c>
      <c r="T86" s="230">
        <f t="shared" si="23"/>
        <v>68675.431232876712</v>
      </c>
      <c r="V86" s="192">
        <f t="shared" si="26"/>
        <v>447562.43910450215</v>
      </c>
      <c r="X86" s="207">
        <v>47938</v>
      </c>
      <c r="Y86" s="97">
        <f t="shared" si="27"/>
        <v>6</v>
      </c>
      <c r="Z86" s="198"/>
      <c r="AA86" s="198"/>
      <c r="AB86" s="198"/>
      <c r="AC86" s="270">
        <f t="shared" si="29"/>
        <v>0</v>
      </c>
    </row>
    <row r="87" spans="1:29" x14ac:dyDescent="0.25">
      <c r="A87" s="106"/>
      <c r="B87" s="207">
        <v>47966</v>
      </c>
      <c r="C87" s="212">
        <f t="shared" si="28"/>
        <v>33</v>
      </c>
      <c r="E87" s="189"/>
      <c r="F87" s="191">
        <v>2.2954700000000001E-2</v>
      </c>
      <c r="G87" s="198">
        <f t="shared" si="20"/>
        <v>75562850.600000009</v>
      </c>
      <c r="H87" s="199">
        <f>'BNC-A'!I97-'TD-A'!J98+'BMO-A'!H90</f>
        <v>210029.52000000476</v>
      </c>
      <c r="I87" s="198">
        <f t="shared" si="21"/>
        <v>157255.73460983188</v>
      </c>
      <c r="J87" s="229">
        <f t="shared" si="25"/>
        <v>367285.25460983661</v>
      </c>
      <c r="L87" s="198">
        <f t="shared" si="31"/>
        <v>10096933.219999993</v>
      </c>
      <c r="M87" s="199">
        <v>18203.86</v>
      </c>
      <c r="N87" s="198">
        <f t="shared" si="30"/>
        <v>20954.735365779226</v>
      </c>
      <c r="O87" s="229">
        <f t="shared" si="32"/>
        <v>39158.595365779227</v>
      </c>
      <c r="Q87" s="195">
        <f t="shared" si="22"/>
        <v>39000000</v>
      </c>
      <c r="R87" s="195">
        <v>0</v>
      </c>
      <c r="S87" s="197">
        <f t="shared" si="24"/>
        <v>80938.901095890411</v>
      </c>
      <c r="T87" s="230">
        <f t="shared" si="23"/>
        <v>80938.901095890411</v>
      </c>
      <c r="V87" s="192">
        <f t="shared" si="26"/>
        <v>487382.7510715063</v>
      </c>
      <c r="X87" s="207">
        <v>47968</v>
      </c>
      <c r="Y87" s="97">
        <f t="shared" si="27"/>
        <v>3</v>
      </c>
      <c r="Z87" s="198"/>
      <c r="AA87" s="198"/>
      <c r="AB87" s="198"/>
      <c r="AC87" s="270">
        <f t="shared" si="29"/>
        <v>0</v>
      </c>
    </row>
    <row r="88" spans="1:29" x14ac:dyDescent="0.25">
      <c r="A88" s="106"/>
      <c r="B88" s="207">
        <v>47994</v>
      </c>
      <c r="C88" s="212">
        <f t="shared" si="28"/>
        <v>28</v>
      </c>
      <c r="E88" s="189"/>
      <c r="F88" s="191">
        <v>2.2954700000000001E-2</v>
      </c>
      <c r="G88" s="198">
        <f t="shared" si="20"/>
        <v>75351940.680000007</v>
      </c>
      <c r="H88" s="199">
        <f>'BNC-A'!I98-'TD-A'!J99+'BMO-A'!H91</f>
        <v>210909.92000000059</v>
      </c>
      <c r="I88" s="198">
        <f t="shared" si="21"/>
        <v>133059.26538821636</v>
      </c>
      <c r="J88" s="229">
        <f t="shared" si="25"/>
        <v>343969.18538821698</v>
      </c>
      <c r="L88" s="198">
        <f t="shared" si="31"/>
        <v>10078650.139999993</v>
      </c>
      <c r="M88" s="199">
        <v>18283.080000000002</v>
      </c>
      <c r="N88" s="198">
        <f t="shared" si="30"/>
        <v>17747.58063102033</v>
      </c>
      <c r="O88" s="229">
        <f t="shared" si="32"/>
        <v>36030.660631020335</v>
      </c>
      <c r="Q88" s="195">
        <f t="shared" si="22"/>
        <v>39000000</v>
      </c>
      <c r="R88" s="195">
        <v>0</v>
      </c>
      <c r="S88" s="197">
        <f t="shared" si="24"/>
        <v>68675.431232876712</v>
      </c>
      <c r="T88" s="230">
        <f t="shared" si="23"/>
        <v>68675.431232876712</v>
      </c>
      <c r="V88" s="192">
        <f t="shared" si="26"/>
        <v>448675.27725211403</v>
      </c>
      <c r="X88" s="207">
        <v>47999</v>
      </c>
      <c r="Y88" s="97">
        <f t="shared" si="27"/>
        <v>6</v>
      </c>
      <c r="Z88" s="198"/>
      <c r="AA88" s="198"/>
      <c r="AB88" s="198"/>
      <c r="AC88" s="270">
        <f t="shared" si="29"/>
        <v>0</v>
      </c>
    </row>
    <row r="89" spans="1:29" x14ac:dyDescent="0.25">
      <c r="A89" s="106"/>
      <c r="B89" s="207">
        <v>48025</v>
      </c>
      <c r="C89" s="212">
        <f t="shared" si="28"/>
        <v>31</v>
      </c>
      <c r="E89" s="189"/>
      <c r="F89" s="191">
        <v>2.2954700000000001E-2</v>
      </c>
      <c r="G89" s="198">
        <f t="shared" si="20"/>
        <v>75140146.670000017</v>
      </c>
      <c r="H89" s="199">
        <f>'BNC-A'!I99-'TD-A'!J100+'BMO-A'!H92</f>
        <v>211794.00999999643</v>
      </c>
      <c r="I89" s="198">
        <f t="shared" si="21"/>
        <v>146904.43006724134</v>
      </c>
      <c r="J89" s="229">
        <f t="shared" si="25"/>
        <v>358698.44006723777</v>
      </c>
      <c r="L89" s="198">
        <f t="shared" si="31"/>
        <v>10060287.489999993</v>
      </c>
      <c r="M89" s="199">
        <v>18362.650000000001</v>
      </c>
      <c r="N89" s="198">
        <f t="shared" si="30"/>
        <v>19613.307722322708</v>
      </c>
      <c r="O89" s="229">
        <f t="shared" si="32"/>
        <v>37975.95772232271</v>
      </c>
      <c r="Q89" s="195">
        <f t="shared" si="22"/>
        <v>39000000</v>
      </c>
      <c r="R89" s="195">
        <v>0</v>
      </c>
      <c r="S89" s="197">
        <f t="shared" si="24"/>
        <v>76033.513150684928</v>
      </c>
      <c r="T89" s="230">
        <f t="shared" si="23"/>
        <v>76033.513150684928</v>
      </c>
      <c r="V89" s="192">
        <f t="shared" si="26"/>
        <v>472707.91094024543</v>
      </c>
      <c r="X89" s="207">
        <v>48029</v>
      </c>
      <c r="Y89" s="97">
        <f t="shared" si="27"/>
        <v>5</v>
      </c>
      <c r="Z89" s="198"/>
      <c r="AA89" s="198"/>
      <c r="AB89" s="198"/>
      <c r="AC89" s="270">
        <f t="shared" si="29"/>
        <v>0</v>
      </c>
    </row>
    <row r="90" spans="1:29" x14ac:dyDescent="0.25">
      <c r="A90" s="106"/>
      <c r="B90" s="207">
        <v>48057</v>
      </c>
      <c r="C90" s="212">
        <f t="shared" si="28"/>
        <v>32</v>
      </c>
      <c r="E90" s="189"/>
      <c r="F90" s="191">
        <v>2.2954700000000001E-2</v>
      </c>
      <c r="G90" s="198">
        <f t="shared" si="20"/>
        <v>74927464.830000013</v>
      </c>
      <c r="H90" s="199">
        <f>'BNC-A'!I100-'TD-A'!J101+'BMO-A'!H93</f>
        <v>212681.8399999988</v>
      </c>
      <c r="I90" s="198">
        <f t="shared" si="21"/>
        <v>151217.0542260471</v>
      </c>
      <c r="J90" s="229">
        <f t="shared" si="25"/>
        <v>363898.89422604593</v>
      </c>
      <c r="L90" s="198">
        <f t="shared" si="31"/>
        <v>10041844.929999992</v>
      </c>
      <c r="M90" s="199">
        <v>18442.560000000001</v>
      </c>
      <c r="N90" s="198">
        <f t="shared" si="30"/>
        <v>20208.88002758758</v>
      </c>
      <c r="O90" s="229">
        <f t="shared" si="32"/>
        <v>38651.440027587581</v>
      </c>
      <c r="Q90" s="195">
        <f t="shared" si="22"/>
        <v>39000000</v>
      </c>
      <c r="R90" s="195">
        <v>0</v>
      </c>
      <c r="S90" s="197">
        <f t="shared" si="24"/>
        <v>78486.207123287677</v>
      </c>
      <c r="T90" s="230">
        <f t="shared" si="23"/>
        <v>78486.207123287677</v>
      </c>
      <c r="V90" s="192">
        <f t="shared" si="26"/>
        <v>481036.54137692117</v>
      </c>
      <c r="X90" s="207">
        <v>48060</v>
      </c>
      <c r="Y90" s="97">
        <f t="shared" si="27"/>
        <v>4</v>
      </c>
      <c r="Z90" s="198"/>
      <c r="AA90" s="198"/>
      <c r="AB90" s="198"/>
      <c r="AC90" s="270">
        <f t="shared" si="29"/>
        <v>0</v>
      </c>
    </row>
    <row r="91" spans="1:29" x14ac:dyDescent="0.25">
      <c r="A91" s="106"/>
      <c r="B91" s="207">
        <v>48086</v>
      </c>
      <c r="C91" s="212">
        <f t="shared" si="28"/>
        <v>29</v>
      </c>
      <c r="E91" s="189"/>
      <c r="F91" s="191">
        <v>2.2954700000000001E-2</v>
      </c>
      <c r="G91" s="198">
        <f t="shared" si="20"/>
        <v>74713891.450000003</v>
      </c>
      <c r="H91" s="199">
        <f>'BNC-A'!I101-'TD-A'!J102+'BMO-A'!H94</f>
        <v>213573.38000000283</v>
      </c>
      <c r="I91" s="198">
        <f t="shared" si="21"/>
        <v>136652.56666044614</v>
      </c>
      <c r="J91" s="229">
        <f t="shared" si="25"/>
        <v>350225.94666044897</v>
      </c>
      <c r="L91" s="198">
        <f t="shared" si="31"/>
        <v>10023322.109999992</v>
      </c>
      <c r="M91" s="199">
        <v>18522.82</v>
      </c>
      <c r="N91" s="198">
        <f t="shared" si="30"/>
        <v>18280.515641408463</v>
      </c>
      <c r="O91" s="229">
        <f t="shared" si="32"/>
        <v>36803.335641408463</v>
      </c>
      <c r="Q91" s="195">
        <f t="shared" si="22"/>
        <v>39000000</v>
      </c>
      <c r="R91" s="195">
        <v>0</v>
      </c>
      <c r="S91" s="197">
        <f t="shared" si="24"/>
        <v>71128.12520547946</v>
      </c>
      <c r="T91" s="230">
        <f t="shared" si="23"/>
        <v>71128.12520547946</v>
      </c>
      <c r="V91" s="192">
        <f t="shared" si="26"/>
        <v>458157.40750733687</v>
      </c>
      <c r="X91" s="207">
        <v>48091</v>
      </c>
      <c r="Y91" s="97">
        <f t="shared" si="27"/>
        <v>6</v>
      </c>
      <c r="Z91" s="198"/>
      <c r="AA91" s="198"/>
      <c r="AB91" s="198"/>
      <c r="AC91" s="270">
        <f t="shared" si="29"/>
        <v>0</v>
      </c>
    </row>
    <row r="92" spans="1:29" x14ac:dyDescent="0.25">
      <c r="A92" s="106"/>
      <c r="B92" s="207">
        <v>48117</v>
      </c>
      <c r="C92" s="212">
        <f t="shared" si="28"/>
        <v>31</v>
      </c>
      <c r="E92" s="189"/>
      <c r="F92" s="191">
        <v>2.2954700000000001E-2</v>
      </c>
      <c r="G92" s="198">
        <f t="shared" si="20"/>
        <v>74499422.769999996</v>
      </c>
      <c r="H92" s="199">
        <f>'BNC-A'!I102-'TD-A'!J103+'BMO-A'!H95</f>
        <v>214468.6800000018</v>
      </c>
      <c r="I92" s="198">
        <f t="shared" si="21"/>
        <v>145660.50379749801</v>
      </c>
      <c r="J92" s="229">
        <f t="shared" si="25"/>
        <v>360129.18379749981</v>
      </c>
      <c r="L92" s="198">
        <f t="shared" si="31"/>
        <v>10004718.679999992</v>
      </c>
      <c r="M92" s="199">
        <v>18603.43</v>
      </c>
      <c r="N92" s="198">
        <f t="shared" si="30"/>
        <v>19504.972033966224</v>
      </c>
      <c r="O92" s="229">
        <f t="shared" si="32"/>
        <v>38108.402033966224</v>
      </c>
      <c r="Q92" s="195">
        <f t="shared" si="22"/>
        <v>39000000</v>
      </c>
      <c r="R92" s="195">
        <v>0</v>
      </c>
      <c r="S92" s="197">
        <f t="shared" si="24"/>
        <v>76033.513150684928</v>
      </c>
      <c r="T92" s="230">
        <f t="shared" si="23"/>
        <v>76033.513150684928</v>
      </c>
      <c r="V92" s="192">
        <f t="shared" si="26"/>
        <v>474271.09898215096</v>
      </c>
      <c r="X92" s="207">
        <v>48121</v>
      </c>
      <c r="Y92" s="97">
        <f t="shared" si="27"/>
        <v>5</v>
      </c>
      <c r="Z92" s="198"/>
      <c r="AA92" s="198"/>
      <c r="AB92" s="198"/>
      <c r="AC92" s="270">
        <f t="shared" si="29"/>
        <v>0</v>
      </c>
    </row>
    <row r="93" spans="1:29" x14ac:dyDescent="0.25">
      <c r="A93" s="106"/>
      <c r="B93" s="207">
        <v>48148</v>
      </c>
      <c r="C93" s="212">
        <f t="shared" si="28"/>
        <v>31</v>
      </c>
      <c r="E93" s="189"/>
      <c r="F93" s="191">
        <v>2.2954700000000001E-2</v>
      </c>
      <c r="G93" s="198">
        <f t="shared" si="20"/>
        <v>74284055.039999992</v>
      </c>
      <c r="H93" s="199">
        <f>'BNC-A'!I103-'TD-A'!J104+'BMO-A'!H96</f>
        <v>215367.72999999777</v>
      </c>
      <c r="I93" s="198">
        <f t="shared" si="21"/>
        <v>145242.380535929</v>
      </c>
      <c r="J93" s="229">
        <f t="shared" si="25"/>
        <v>360610.11053592677</v>
      </c>
      <c r="L93" s="198">
        <f t="shared" si="31"/>
        <v>9986034.2799999919</v>
      </c>
      <c r="M93" s="199">
        <v>18684.400000000001</v>
      </c>
      <c r="N93" s="198">
        <f t="shared" si="30"/>
        <v>19468.545352604357</v>
      </c>
      <c r="O93" s="229">
        <f t="shared" si="32"/>
        <v>38152.945352604358</v>
      </c>
      <c r="Q93" s="195">
        <f t="shared" si="22"/>
        <v>39000000</v>
      </c>
      <c r="R93" s="195">
        <v>0</v>
      </c>
      <c r="S93" s="197">
        <f t="shared" si="24"/>
        <v>76033.513150684928</v>
      </c>
      <c r="T93" s="230">
        <f t="shared" si="23"/>
        <v>76033.513150684928</v>
      </c>
      <c r="V93" s="192">
        <f t="shared" si="26"/>
        <v>474796.56903921609</v>
      </c>
      <c r="X93" s="207">
        <v>48152</v>
      </c>
      <c r="Y93" s="97">
        <f t="shared" si="27"/>
        <v>5</v>
      </c>
      <c r="Z93" s="198"/>
      <c r="AA93" s="198"/>
      <c r="AB93" s="198"/>
      <c r="AC93" s="270">
        <f t="shared" si="29"/>
        <v>0</v>
      </c>
    </row>
    <row r="94" spans="1:29" x14ac:dyDescent="0.25">
      <c r="A94" s="106"/>
      <c r="B94" s="207">
        <v>48178</v>
      </c>
      <c r="C94" s="212">
        <f t="shared" si="28"/>
        <v>30</v>
      </c>
      <c r="E94" s="189"/>
      <c r="F94" s="191">
        <v>2.2954700000000001E-2</v>
      </c>
      <c r="G94" s="198">
        <f t="shared" si="20"/>
        <v>74067784.5</v>
      </c>
      <c r="H94" s="199">
        <f>'BNC-A'!I104-'TD-A'!J105+'BMO-A'!H97</f>
        <v>216270.53999999614</v>
      </c>
      <c r="I94" s="198">
        <f t="shared" si="21"/>
        <v>140150.81081315244</v>
      </c>
      <c r="J94" s="229">
        <f t="shared" si="25"/>
        <v>356421.35081314854</v>
      </c>
      <c r="L94" s="198">
        <f t="shared" si="31"/>
        <v>9967268.569999991</v>
      </c>
      <c r="M94" s="199">
        <v>18765.71</v>
      </c>
      <c r="N94" s="198">
        <f t="shared" si="30"/>
        <v>18805.122726885929</v>
      </c>
      <c r="O94" s="229">
        <f t="shared" si="32"/>
        <v>37570.832726885928</v>
      </c>
      <c r="Q94" s="195">
        <f t="shared" si="22"/>
        <v>39000000</v>
      </c>
      <c r="R94" s="195">
        <v>0</v>
      </c>
      <c r="S94" s="197">
        <f t="shared" si="24"/>
        <v>73580.819178082194</v>
      </c>
      <c r="T94" s="230">
        <f t="shared" si="23"/>
        <v>73580.819178082194</v>
      </c>
      <c r="V94" s="192">
        <f t="shared" si="26"/>
        <v>467573.00271811662</v>
      </c>
      <c r="X94" s="207">
        <v>48182</v>
      </c>
      <c r="Y94" s="97">
        <f t="shared" si="27"/>
        <v>5</v>
      </c>
      <c r="Z94" s="198"/>
      <c r="AA94" s="198"/>
      <c r="AB94" s="198"/>
      <c r="AC94" s="270">
        <f t="shared" si="29"/>
        <v>0</v>
      </c>
    </row>
    <row r="95" spans="1:29" x14ac:dyDescent="0.25">
      <c r="A95" s="106"/>
      <c r="B95" s="207">
        <v>48211</v>
      </c>
      <c r="C95" s="212">
        <f t="shared" si="28"/>
        <v>33</v>
      </c>
      <c r="E95" s="189"/>
      <c r="F95" s="191">
        <v>2.2954700000000001E-2</v>
      </c>
      <c r="G95" s="198">
        <f t="shared" si="20"/>
        <v>73850607.329999998</v>
      </c>
      <c r="H95" s="199">
        <f>'BNC-A'!I105-'TD-A'!J106+'BMO-A'!H98</f>
        <v>217177.17000000342</v>
      </c>
      <c r="I95" s="198">
        <f t="shared" si="21"/>
        <v>153717.05343685194</v>
      </c>
      <c r="J95" s="229">
        <f t="shared" si="25"/>
        <v>370894.22343685536</v>
      </c>
      <c r="L95" s="198">
        <f t="shared" si="31"/>
        <v>9948421.1899999902</v>
      </c>
      <c r="M95" s="199">
        <v>18847.38</v>
      </c>
      <c r="N95" s="198">
        <f t="shared" si="30"/>
        <v>20646.519968145378</v>
      </c>
      <c r="O95" s="229">
        <f t="shared" si="32"/>
        <v>39493.899968145379</v>
      </c>
      <c r="Q95" s="195">
        <f t="shared" si="22"/>
        <v>39000000</v>
      </c>
      <c r="R95" s="195">
        <v>0</v>
      </c>
      <c r="S95" s="197">
        <f t="shared" si="24"/>
        <v>80938.901095890411</v>
      </c>
      <c r="T95" s="230">
        <f t="shared" si="23"/>
        <v>80938.901095890411</v>
      </c>
      <c r="V95" s="192">
        <f t="shared" si="26"/>
        <v>491327.0245008911</v>
      </c>
      <c r="X95" s="207">
        <v>48213</v>
      </c>
      <c r="Y95" s="97">
        <f t="shared" si="27"/>
        <v>3</v>
      </c>
      <c r="Z95" s="198"/>
      <c r="AA95" s="198"/>
      <c r="AB95" s="198"/>
      <c r="AC95" s="270">
        <f t="shared" si="29"/>
        <v>0</v>
      </c>
    </row>
    <row r="96" spans="1:29" x14ac:dyDescent="0.25">
      <c r="A96" s="106"/>
      <c r="B96" s="207">
        <v>48239</v>
      </c>
      <c r="C96" s="212">
        <f t="shared" si="28"/>
        <v>28</v>
      </c>
      <c r="E96" s="189"/>
      <c r="F96" s="191">
        <v>2.2954700000000001E-2</v>
      </c>
      <c r="G96" s="198">
        <f t="shared" si="20"/>
        <v>73632519.739999995</v>
      </c>
      <c r="H96" s="199">
        <f>'BNC-A'!I106-'TD-A'!J107+'BMO-A'!H99</f>
        <v>218087.58999999941</v>
      </c>
      <c r="I96" s="198">
        <f t="shared" si="21"/>
        <v>130044.16167173325</v>
      </c>
      <c r="J96" s="229">
        <f t="shared" si="25"/>
        <v>348131.75167173264</v>
      </c>
      <c r="L96" s="198">
        <f t="shared" si="31"/>
        <v>9929491.7899999898</v>
      </c>
      <c r="M96" s="199">
        <v>18929.400000000001</v>
      </c>
      <c r="N96" s="198">
        <f t="shared" si="30"/>
        <v>17484.92642568098</v>
      </c>
      <c r="O96" s="229">
        <f t="shared" si="32"/>
        <v>36414.326425680978</v>
      </c>
      <c r="Q96" s="195">
        <f t="shared" si="22"/>
        <v>39000000</v>
      </c>
      <c r="R96" s="195">
        <v>0</v>
      </c>
      <c r="S96" s="197">
        <f t="shared" si="24"/>
        <v>68675.431232876712</v>
      </c>
      <c r="T96" s="230">
        <f t="shared" si="23"/>
        <v>68675.431232876712</v>
      </c>
      <c r="V96" s="192">
        <f t="shared" si="26"/>
        <v>453221.50933029037</v>
      </c>
      <c r="X96" s="207">
        <v>48244</v>
      </c>
      <c r="Y96" s="97">
        <f t="shared" si="27"/>
        <v>6</v>
      </c>
      <c r="Z96" s="198"/>
      <c r="AA96" s="198"/>
      <c r="AB96" s="198"/>
      <c r="AC96" s="270">
        <f t="shared" si="29"/>
        <v>0</v>
      </c>
    </row>
    <row r="97" spans="1:29" x14ac:dyDescent="0.25">
      <c r="A97" s="106"/>
      <c r="B97" s="207">
        <v>48270</v>
      </c>
      <c r="C97" s="212">
        <f t="shared" si="28"/>
        <v>31</v>
      </c>
      <c r="E97" s="189"/>
      <c r="F97" s="191">
        <v>2.2954700000000001E-2</v>
      </c>
      <c r="G97" s="198">
        <f t="shared" si="20"/>
        <v>73413517.899999991</v>
      </c>
      <c r="H97" s="199">
        <f>'BNC-A'!I107-'TD-A'!J108+'BMO-A'!H100</f>
        <v>219001.84000000171</v>
      </c>
      <c r="I97" s="198">
        <f t="shared" si="21"/>
        <v>143552.28610177842</v>
      </c>
      <c r="J97" s="229">
        <f t="shared" si="25"/>
        <v>362554.1261017801</v>
      </c>
      <c r="L97" s="198">
        <f t="shared" si="31"/>
        <v>9910480.0099999905</v>
      </c>
      <c r="M97" s="199">
        <v>19011.78</v>
      </c>
      <c r="N97" s="198">
        <f t="shared" si="30"/>
        <v>19321.246465895758</v>
      </c>
      <c r="O97" s="229">
        <f t="shared" si="32"/>
        <v>38333.02646589576</v>
      </c>
      <c r="Q97" s="195">
        <f t="shared" si="22"/>
        <v>39000000</v>
      </c>
      <c r="R97" s="195">
        <v>0</v>
      </c>
      <c r="S97" s="197">
        <f t="shared" si="24"/>
        <v>76033.513150684928</v>
      </c>
      <c r="T97" s="230">
        <f t="shared" si="23"/>
        <v>76033.513150684928</v>
      </c>
      <c r="V97" s="192">
        <f t="shared" si="26"/>
        <v>476920.6657183608</v>
      </c>
      <c r="X97" s="207">
        <v>48273</v>
      </c>
      <c r="Y97" s="97">
        <f t="shared" si="27"/>
        <v>4</v>
      </c>
      <c r="Z97" s="198"/>
      <c r="AA97" s="198"/>
      <c r="AB97" s="198"/>
      <c r="AC97" s="270">
        <f t="shared" si="29"/>
        <v>0</v>
      </c>
    </row>
    <row r="98" spans="1:29" x14ac:dyDescent="0.25">
      <c r="A98" s="106"/>
      <c r="B98" s="207">
        <v>48302</v>
      </c>
      <c r="C98" s="212">
        <f t="shared" si="28"/>
        <v>32</v>
      </c>
      <c r="E98" s="189"/>
      <c r="F98" s="191">
        <v>2.2954700000000001E-2</v>
      </c>
      <c r="G98" s="198">
        <f t="shared" si="20"/>
        <v>73193597.959999993</v>
      </c>
      <c r="H98" s="199">
        <f>'BNC-A'!I108-'TD-A'!J109+'BMO-A'!H101</f>
        <v>219919.93999999948</v>
      </c>
      <c r="I98" s="198">
        <f t="shared" si="21"/>
        <v>147742.27106534835</v>
      </c>
      <c r="J98" s="229">
        <f t="shared" si="25"/>
        <v>367662.21106534783</v>
      </c>
      <c r="L98" s="198">
        <f t="shared" si="31"/>
        <v>9891385.4899999909</v>
      </c>
      <c r="M98" s="199">
        <v>19094.52</v>
      </c>
      <c r="N98" s="198">
        <f t="shared" si="30"/>
        <v>19906.085392421068</v>
      </c>
      <c r="O98" s="229">
        <f t="shared" si="32"/>
        <v>39000.605392421072</v>
      </c>
      <c r="Q98" s="195">
        <f t="shared" si="22"/>
        <v>39000000</v>
      </c>
      <c r="R98" s="195">
        <v>0</v>
      </c>
      <c r="S98" s="197">
        <f t="shared" si="24"/>
        <v>78486.207123287677</v>
      </c>
      <c r="T98" s="230">
        <f t="shared" si="23"/>
        <v>78486.207123287677</v>
      </c>
      <c r="V98" s="192">
        <f t="shared" si="26"/>
        <v>485149.02358105656</v>
      </c>
      <c r="X98" s="207">
        <v>48304</v>
      </c>
      <c r="Y98" s="97">
        <f t="shared" si="27"/>
        <v>3</v>
      </c>
      <c r="Z98" s="198"/>
      <c r="AA98" s="198"/>
      <c r="AB98" s="198"/>
      <c r="AC98" s="270">
        <f t="shared" si="29"/>
        <v>0</v>
      </c>
    </row>
    <row r="99" spans="1:29" x14ac:dyDescent="0.25">
      <c r="A99" s="106"/>
      <c r="B99" s="207">
        <v>48330</v>
      </c>
      <c r="C99" s="212">
        <f t="shared" si="28"/>
        <v>28</v>
      </c>
      <c r="E99" s="189"/>
      <c r="F99" s="191">
        <v>2.2954700000000001E-2</v>
      </c>
      <c r="G99" s="198">
        <f t="shared" si="20"/>
        <v>72972756.099999994</v>
      </c>
      <c r="H99" s="199">
        <f>'BNC-A'!I109-'TD-A'!J110+'BMO-A'!H102</f>
        <v>220841.8599999994</v>
      </c>
      <c r="I99" s="198">
        <f t="shared" si="21"/>
        <v>128887.22829202065</v>
      </c>
      <c r="J99" s="229">
        <f t="shared" si="25"/>
        <v>349729.08829202002</v>
      </c>
      <c r="L99" s="198">
        <f t="shared" si="31"/>
        <v>9872207.8699999917</v>
      </c>
      <c r="M99" s="199">
        <v>19177.62</v>
      </c>
      <c r="N99" s="198">
        <f t="shared" si="30"/>
        <v>17384.05468443202</v>
      </c>
      <c r="O99" s="229">
        <f t="shared" si="32"/>
        <v>36561.674684432015</v>
      </c>
      <c r="Q99" s="195">
        <f t="shared" si="22"/>
        <v>39000000</v>
      </c>
      <c r="R99" s="195">
        <v>0</v>
      </c>
      <c r="S99" s="197">
        <f t="shared" si="24"/>
        <v>68675.431232876712</v>
      </c>
      <c r="T99" s="230">
        <f t="shared" si="23"/>
        <v>68675.431232876712</v>
      </c>
      <c r="V99" s="192">
        <f t="shared" si="26"/>
        <v>454966.19420932874</v>
      </c>
      <c r="X99" s="207">
        <v>48334</v>
      </c>
      <c r="Y99" s="97">
        <f t="shared" si="27"/>
        <v>5</v>
      </c>
      <c r="Z99" s="198"/>
      <c r="AA99" s="198"/>
      <c r="AB99" s="198"/>
      <c r="AC99" s="270">
        <f t="shared" si="29"/>
        <v>0</v>
      </c>
    </row>
    <row r="100" spans="1:29" x14ac:dyDescent="0.25">
      <c r="A100" s="106"/>
      <c r="B100" s="207">
        <v>48360</v>
      </c>
      <c r="C100" s="212">
        <f t="shared" si="28"/>
        <v>30</v>
      </c>
      <c r="E100" s="189"/>
      <c r="F100" s="191">
        <v>2.2954700000000001E-2</v>
      </c>
      <c r="G100" s="198">
        <f t="shared" si="20"/>
        <v>72750988.389999986</v>
      </c>
      <c r="H100" s="199">
        <f>'BNC-A'!I110-'TD-A'!J111+'BMO-A'!H103</f>
        <v>221767.71000000089</v>
      </c>
      <c r="I100" s="198">
        <f t="shared" si="21"/>
        <v>137676.79926975368</v>
      </c>
      <c r="J100" s="229">
        <f t="shared" si="25"/>
        <v>359444.50926975458</v>
      </c>
      <c r="L100" s="198">
        <f t="shared" si="31"/>
        <v>9852946.7899999917</v>
      </c>
      <c r="M100" s="199">
        <v>19261.080000000002</v>
      </c>
      <c r="N100" s="198">
        <f t="shared" si="30"/>
        <v>18589.43323400653</v>
      </c>
      <c r="O100" s="229">
        <f t="shared" si="32"/>
        <v>37850.513234006532</v>
      </c>
      <c r="Q100" s="195">
        <f t="shared" si="22"/>
        <v>39000000</v>
      </c>
      <c r="R100" s="195">
        <v>0</v>
      </c>
      <c r="S100" s="197">
        <f t="shared" si="24"/>
        <v>73580.819178082194</v>
      </c>
      <c r="T100" s="230">
        <f t="shared" si="23"/>
        <v>73580.819178082194</v>
      </c>
      <c r="V100" s="192">
        <f t="shared" si="26"/>
        <v>470875.84168184327</v>
      </c>
      <c r="X100" s="207">
        <v>48365</v>
      </c>
      <c r="Y100" s="97">
        <f t="shared" si="27"/>
        <v>6</v>
      </c>
      <c r="Z100" s="198"/>
      <c r="AA100" s="198"/>
      <c r="AB100" s="198"/>
      <c r="AC100" s="270">
        <f t="shared" si="29"/>
        <v>0</v>
      </c>
    </row>
    <row r="101" spans="1:29" x14ac:dyDescent="0.25">
      <c r="A101" s="107"/>
      <c r="B101" s="207">
        <v>48393</v>
      </c>
      <c r="C101" s="212">
        <f t="shared" si="28"/>
        <v>33</v>
      </c>
      <c r="E101" s="189"/>
      <c r="F101" s="191">
        <v>2.2954700000000001E-2</v>
      </c>
      <c r="G101" s="198">
        <f t="shared" si="20"/>
        <v>72528290.98999998</v>
      </c>
      <c r="H101" s="199">
        <f>'BNC-A'!I111-'TD-A'!J112+'BMO-A'!H104</f>
        <v>222697.40000000037</v>
      </c>
      <c r="I101" s="198">
        <f t="shared" si="21"/>
        <v>150984.23215196104</v>
      </c>
      <c r="J101" s="229">
        <f t="shared" si="25"/>
        <v>373681.63215196144</v>
      </c>
      <c r="L101" s="198">
        <f t="shared" si="31"/>
        <v>9833601.8799999915</v>
      </c>
      <c r="M101" s="199">
        <v>19344.91</v>
      </c>
      <c r="N101" s="198">
        <f t="shared" si="30"/>
        <v>20408.228973889265</v>
      </c>
      <c r="O101" s="229">
        <f t="shared" si="32"/>
        <v>39753.138973889261</v>
      </c>
      <c r="Q101" s="195">
        <f t="shared" si="22"/>
        <v>39000000</v>
      </c>
      <c r="R101" s="195">
        <v>0</v>
      </c>
      <c r="S101" s="197">
        <f t="shared" si="24"/>
        <v>80938.901095890411</v>
      </c>
      <c r="T101" s="230">
        <f t="shared" si="23"/>
        <v>80938.901095890411</v>
      </c>
      <c r="V101" s="192">
        <f t="shared" si="26"/>
        <v>494373.67222174117</v>
      </c>
      <c r="X101" s="207">
        <v>48395</v>
      </c>
      <c r="Y101" s="97">
        <f t="shared" si="27"/>
        <v>3</v>
      </c>
      <c r="Z101" s="198"/>
      <c r="AA101" s="198"/>
      <c r="AB101" s="198"/>
      <c r="AC101" s="270">
        <f t="shared" si="29"/>
        <v>0</v>
      </c>
    </row>
    <row r="102" spans="1:29" x14ac:dyDescent="0.25">
      <c r="A102" s="107"/>
      <c r="B102" s="207">
        <v>48421</v>
      </c>
      <c r="C102" s="212">
        <f t="shared" si="28"/>
        <v>28</v>
      </c>
      <c r="E102" s="189"/>
      <c r="F102" s="191">
        <v>2.2954700000000001E-2</v>
      </c>
      <c r="G102" s="198">
        <f t="shared" si="20"/>
        <v>72304659.98999998</v>
      </c>
      <c r="H102" s="199">
        <f>'BNC-A'!I112-'TD-A'!J113+'BMO-A'!H105</f>
        <v>223630.99999999627</v>
      </c>
      <c r="I102" s="198">
        <f t="shared" si="21"/>
        <v>127715.68359799527</v>
      </c>
      <c r="J102" s="229">
        <f t="shared" si="25"/>
        <v>351346.68359799153</v>
      </c>
      <c r="L102" s="198">
        <f t="shared" si="31"/>
        <v>9814172.7799999919</v>
      </c>
      <c r="M102" s="199">
        <v>19429.099999999999</v>
      </c>
      <c r="N102" s="198">
        <f t="shared" si="30"/>
        <v>17281.860201550255</v>
      </c>
      <c r="O102" s="229">
        <f t="shared" si="32"/>
        <v>36710.960201550253</v>
      </c>
      <c r="Q102" s="195">
        <f t="shared" si="22"/>
        <v>39000000</v>
      </c>
      <c r="R102" s="195">
        <v>0</v>
      </c>
      <c r="S102" s="197">
        <f t="shared" si="24"/>
        <v>68675.431232876712</v>
      </c>
      <c r="T102" s="230">
        <f t="shared" si="23"/>
        <v>68675.431232876712</v>
      </c>
      <c r="V102" s="192">
        <f t="shared" si="26"/>
        <v>456733.07503241854</v>
      </c>
      <c r="X102" s="207">
        <v>48426</v>
      </c>
      <c r="Y102" s="97">
        <f t="shared" si="27"/>
        <v>6</v>
      </c>
      <c r="Z102" s="198"/>
      <c r="AA102" s="198"/>
      <c r="AB102" s="198"/>
      <c r="AC102" s="270">
        <f t="shared" si="29"/>
        <v>0</v>
      </c>
    </row>
    <row r="103" spans="1:29" x14ac:dyDescent="0.25">
      <c r="A103" s="107"/>
      <c r="B103" s="207">
        <v>48452</v>
      </c>
      <c r="C103" s="212">
        <f t="shared" si="28"/>
        <v>31</v>
      </c>
      <c r="E103" s="189"/>
      <c r="F103" s="191">
        <v>2.2954700000000001E-2</v>
      </c>
      <c r="G103" s="198">
        <f t="shared" si="20"/>
        <v>72080091.439999983</v>
      </c>
      <c r="H103" s="199">
        <f>'BNC-A'!I113-'TD-A'!J114+'BMO-A'!H106</f>
        <v>224568.54999999888</v>
      </c>
      <c r="I103" s="198">
        <f t="shared" si="21"/>
        <v>140963.5209283453</v>
      </c>
      <c r="J103" s="229">
        <f t="shared" si="25"/>
        <v>365532.07092834415</v>
      </c>
      <c r="L103" s="198">
        <f t="shared" si="31"/>
        <v>9794659.1299999915</v>
      </c>
      <c r="M103" s="199">
        <v>19513.650000000001</v>
      </c>
      <c r="N103" s="198">
        <f t="shared" si="30"/>
        <v>19095.444711982836</v>
      </c>
      <c r="O103" s="229">
        <f t="shared" si="32"/>
        <v>38609.094711982834</v>
      </c>
      <c r="Q103" s="195">
        <f t="shared" si="22"/>
        <v>39000000</v>
      </c>
      <c r="R103" s="195">
        <v>0</v>
      </c>
      <c r="S103" s="197">
        <f t="shared" ref="S103:S125" si="33">(Q102*(E103+F103)*C103/365)</f>
        <v>76033.513150684928</v>
      </c>
      <c r="T103" s="230">
        <f t="shared" si="23"/>
        <v>76033.513150684928</v>
      </c>
      <c r="V103" s="192">
        <f t="shared" si="26"/>
        <v>480174.67879101192</v>
      </c>
      <c r="X103" s="207">
        <v>48457</v>
      </c>
      <c r="Y103" s="97">
        <f t="shared" si="27"/>
        <v>6</v>
      </c>
      <c r="Z103" s="198"/>
      <c r="AA103" s="198"/>
      <c r="AB103" s="198"/>
      <c r="AC103" s="270">
        <f t="shared" si="29"/>
        <v>0</v>
      </c>
    </row>
    <row r="104" spans="1:29" x14ac:dyDescent="0.25">
      <c r="A104" s="107"/>
      <c r="B104" s="207">
        <v>48484</v>
      </c>
      <c r="C104" s="212">
        <f t="shared" si="28"/>
        <v>32</v>
      </c>
      <c r="E104" s="189"/>
      <c r="F104" s="191">
        <v>2.2954700000000001E-2</v>
      </c>
      <c r="G104" s="198">
        <f t="shared" si="20"/>
        <v>71854581.419999972</v>
      </c>
      <c r="H104" s="199">
        <f>'BNC-A'!I114-'TD-A'!J115+'BMO-A'!H107</f>
        <v>225510.020000007</v>
      </c>
      <c r="I104" s="198">
        <f t="shared" si="21"/>
        <v>145058.79451859882</v>
      </c>
      <c r="J104" s="229">
        <f t="shared" si="25"/>
        <v>370568.81451860582</v>
      </c>
      <c r="L104" s="198">
        <f t="shared" si="31"/>
        <v>9775060.5599999912</v>
      </c>
      <c r="M104" s="199">
        <v>19598.57</v>
      </c>
      <c r="N104" s="198">
        <f t="shared" si="30"/>
        <v>19671.985327047172</v>
      </c>
      <c r="O104" s="229">
        <f t="shared" si="32"/>
        <v>39270.555327047172</v>
      </c>
      <c r="Q104" s="195">
        <f t="shared" si="22"/>
        <v>39000000</v>
      </c>
      <c r="R104" s="195">
        <v>0</v>
      </c>
      <c r="S104" s="197">
        <f t="shared" si="33"/>
        <v>78486.207123287677</v>
      </c>
      <c r="T104" s="230">
        <f t="shared" si="23"/>
        <v>78486.207123287677</v>
      </c>
      <c r="V104" s="192">
        <f t="shared" si="26"/>
        <v>488325.57696894067</v>
      </c>
      <c r="X104" s="207">
        <v>48487</v>
      </c>
      <c r="Y104" s="97">
        <f t="shared" ref="Y104:Y125" si="34">X104-B104+1</f>
        <v>4</v>
      </c>
      <c r="Z104" s="198"/>
      <c r="AA104" s="198"/>
      <c r="AB104" s="198"/>
      <c r="AC104" s="270">
        <f t="shared" si="29"/>
        <v>0</v>
      </c>
    </row>
    <row r="105" spans="1:29" x14ac:dyDescent="0.25">
      <c r="A105" s="107"/>
      <c r="B105" s="207">
        <v>48513</v>
      </c>
      <c r="C105" s="212">
        <f t="shared" si="28"/>
        <v>29</v>
      </c>
      <c r="E105" s="189"/>
      <c r="F105" s="191">
        <v>2.2954700000000001E-2</v>
      </c>
      <c r="G105" s="198">
        <f t="shared" si="20"/>
        <v>71628125.969999984</v>
      </c>
      <c r="H105" s="199">
        <f>'BNC-A'!I115-'TD-A'!J116+'BMO-A'!H108</f>
        <v>226455.4499999918</v>
      </c>
      <c r="I105" s="198">
        <f t="shared" si="21"/>
        <v>131048.24779048913</v>
      </c>
      <c r="J105" s="229">
        <f t="shared" si="25"/>
        <v>357503.69779048092</v>
      </c>
      <c r="L105" s="198">
        <f t="shared" si="31"/>
        <v>9755376.689999992</v>
      </c>
      <c r="M105" s="199">
        <v>19683.87</v>
      </c>
      <c r="N105" s="198">
        <f t="shared" si="30"/>
        <v>17791.837298280388</v>
      </c>
      <c r="O105" s="229">
        <f t="shared" si="32"/>
        <v>37475.707298280387</v>
      </c>
      <c r="Q105" s="195">
        <f t="shared" si="22"/>
        <v>39000000</v>
      </c>
      <c r="R105" s="195">
        <v>0</v>
      </c>
      <c r="S105" s="197">
        <f t="shared" si="33"/>
        <v>71128.12520547946</v>
      </c>
      <c r="T105" s="230">
        <f t="shared" si="23"/>
        <v>71128.12520547946</v>
      </c>
      <c r="V105" s="192">
        <f t="shared" si="26"/>
        <v>466107.53029424074</v>
      </c>
      <c r="X105" s="207">
        <v>48518</v>
      </c>
      <c r="Y105" s="97">
        <f t="shared" si="34"/>
        <v>6</v>
      </c>
      <c r="Z105" s="198"/>
      <c r="AA105" s="198"/>
      <c r="AB105" s="198"/>
      <c r="AC105" s="270">
        <f t="shared" si="29"/>
        <v>0</v>
      </c>
    </row>
    <row r="106" spans="1:29" x14ac:dyDescent="0.25">
      <c r="A106" s="107"/>
      <c r="B106" s="207">
        <v>48544</v>
      </c>
      <c r="C106" s="212">
        <f t="shared" si="28"/>
        <v>31</v>
      </c>
      <c r="E106" s="189"/>
      <c r="F106" s="191">
        <v>2.2954700000000001E-2</v>
      </c>
      <c r="G106" s="198">
        <f t="shared" si="20"/>
        <v>71400721.12999998</v>
      </c>
      <c r="H106" s="199">
        <f>'BNC-A'!I116-'TD-A'!J117+'BMO-A'!H109</f>
        <v>227404.83999999985</v>
      </c>
      <c r="I106" s="198">
        <f t="shared" si="21"/>
        <v>139644.56558715156</v>
      </c>
      <c r="J106" s="229">
        <f t="shared" si="25"/>
        <v>367049.40558715141</v>
      </c>
      <c r="L106" s="198">
        <f t="shared" si="31"/>
        <v>9735607.1599999927</v>
      </c>
      <c r="M106" s="199">
        <v>19769.53</v>
      </c>
      <c r="N106" s="198">
        <f t="shared" si="30"/>
        <v>18980.318334096457</v>
      </c>
      <c r="O106" s="229">
        <f t="shared" si="32"/>
        <v>38749.848334096459</v>
      </c>
      <c r="Q106" s="195">
        <f t="shared" si="22"/>
        <v>39000000</v>
      </c>
      <c r="R106" s="195">
        <v>0</v>
      </c>
      <c r="S106" s="197">
        <f t="shared" si="33"/>
        <v>76033.513150684928</v>
      </c>
      <c r="T106" s="230">
        <f t="shared" si="23"/>
        <v>76033.513150684928</v>
      </c>
      <c r="V106" s="192">
        <f t="shared" si="26"/>
        <v>481832.76707193285</v>
      </c>
      <c r="X106" s="207">
        <v>48548</v>
      </c>
      <c r="Y106" s="97">
        <f t="shared" si="34"/>
        <v>5</v>
      </c>
      <c r="Z106" s="198"/>
      <c r="AA106" s="198"/>
      <c r="AB106" s="198"/>
      <c r="AC106" s="270">
        <f t="shared" si="29"/>
        <v>0</v>
      </c>
    </row>
    <row r="107" spans="1:29" x14ac:dyDescent="0.25">
      <c r="A107" s="107"/>
      <c r="B107" s="207">
        <v>48577</v>
      </c>
      <c r="C107" s="212">
        <f t="shared" si="28"/>
        <v>33</v>
      </c>
      <c r="E107" s="189"/>
      <c r="F107" s="191">
        <v>2.2954700000000001E-2</v>
      </c>
      <c r="G107" s="198">
        <f t="shared" si="20"/>
        <v>71172362.899999976</v>
      </c>
      <c r="H107" s="199">
        <f>'BNC-A'!I117-'TD-A'!J118+'BMO-A'!H110</f>
        <v>228358.23000000231</v>
      </c>
      <c r="I107" s="198">
        <f t="shared" si="21"/>
        <v>148181.94630041852</v>
      </c>
      <c r="J107" s="229">
        <f t="shared" si="25"/>
        <v>376540.17630042083</v>
      </c>
      <c r="L107" s="198">
        <f t="shared" si="31"/>
        <v>9715751.5899999924</v>
      </c>
      <c r="M107" s="199">
        <v>19855.57</v>
      </c>
      <c r="N107" s="198">
        <f t="shared" si="30"/>
        <v>20163.647615775626</v>
      </c>
      <c r="O107" s="229">
        <f t="shared" si="32"/>
        <v>40019.217615775626</v>
      </c>
      <c r="Q107" s="195">
        <f t="shared" si="22"/>
        <v>39000000</v>
      </c>
      <c r="R107" s="195">
        <v>0</v>
      </c>
      <c r="S107" s="197">
        <f t="shared" si="33"/>
        <v>80938.901095890411</v>
      </c>
      <c r="T107" s="230">
        <f t="shared" si="23"/>
        <v>80938.901095890411</v>
      </c>
      <c r="V107" s="192">
        <f t="shared" si="26"/>
        <v>497498.29501208686</v>
      </c>
      <c r="X107" s="207">
        <v>48579</v>
      </c>
      <c r="Y107" s="97">
        <f t="shared" si="34"/>
        <v>3</v>
      </c>
      <c r="Z107" s="198"/>
      <c r="AA107" s="198"/>
      <c r="AB107" s="198"/>
      <c r="AC107" s="270">
        <f t="shared" si="29"/>
        <v>0</v>
      </c>
    </row>
    <row r="108" spans="1:29" x14ac:dyDescent="0.25">
      <c r="A108" s="107"/>
      <c r="B108" s="207">
        <v>48605</v>
      </c>
      <c r="C108" s="212">
        <f t="shared" si="28"/>
        <v>28</v>
      </c>
      <c r="E108" s="189"/>
      <c r="F108" s="191">
        <v>2.2954700000000001E-2</v>
      </c>
      <c r="G108" s="198">
        <f t="shared" si="20"/>
        <v>70943047.279999971</v>
      </c>
      <c r="H108" s="199">
        <f>'BNC-A'!I118-'TD-A'!J119+'BMO-A'!H111</f>
        <v>229315.62000000291</v>
      </c>
      <c r="I108" s="198">
        <f t="shared" si="21"/>
        <v>125328.01830821268</v>
      </c>
      <c r="J108" s="229">
        <f t="shared" si="25"/>
        <v>354643.6383082156</v>
      </c>
      <c r="L108" s="198">
        <f t="shared" si="31"/>
        <v>9695809.609999992</v>
      </c>
      <c r="M108" s="199">
        <v>19941.98</v>
      </c>
      <c r="N108" s="198">
        <f t="shared" ref="N108:N125" si="35">(L108*(E108+F108)*C108/365)</f>
        <v>17073.433490221018</v>
      </c>
      <c r="O108" s="229">
        <f t="shared" si="32"/>
        <v>37015.413490221021</v>
      </c>
      <c r="Q108" s="195">
        <f t="shared" si="22"/>
        <v>39000000</v>
      </c>
      <c r="R108" s="195">
        <v>0</v>
      </c>
      <c r="S108" s="197">
        <f t="shared" si="33"/>
        <v>68675.431232876712</v>
      </c>
      <c r="T108" s="230">
        <f t="shared" si="23"/>
        <v>68675.431232876712</v>
      </c>
      <c r="V108" s="192">
        <f t="shared" si="26"/>
        <v>460334.48303131334</v>
      </c>
      <c r="X108" s="207">
        <v>48610</v>
      </c>
      <c r="Y108" s="97">
        <f t="shared" si="34"/>
        <v>6</v>
      </c>
      <c r="Z108" s="198"/>
      <c r="AA108" s="198"/>
      <c r="AB108" s="198"/>
      <c r="AC108" s="270">
        <f t="shared" si="29"/>
        <v>0</v>
      </c>
    </row>
    <row r="109" spans="1:29" x14ac:dyDescent="0.25">
      <c r="A109" s="107"/>
      <c r="B109" s="207">
        <v>48638</v>
      </c>
      <c r="C109" s="212">
        <f t="shared" si="28"/>
        <v>33</v>
      </c>
      <c r="E109" s="189"/>
      <c r="F109" s="191">
        <v>2.2954700000000001E-2</v>
      </c>
      <c r="G109" s="198">
        <f t="shared" si="20"/>
        <v>70712770.24999997</v>
      </c>
      <c r="H109" s="199">
        <f>'BNC-A'!I119-'TD-A'!J120+'BMO-A'!H112</f>
        <v>230277.03000000119</v>
      </c>
      <c r="I109" s="198">
        <f t="shared" si="21"/>
        <v>147232.10992915372</v>
      </c>
      <c r="J109" s="229">
        <f t="shared" si="25"/>
        <v>377509.13992915489</v>
      </c>
      <c r="L109" s="198">
        <f t="shared" ref="L109:L125" si="36">L108-M109</f>
        <v>9675780.8399999924</v>
      </c>
      <c r="M109" s="199">
        <v>20028.77</v>
      </c>
      <c r="N109" s="198">
        <f t="shared" si="35"/>
        <v>20080.694062417202</v>
      </c>
      <c r="O109" s="229">
        <f t="shared" si="32"/>
        <v>40109.464062417203</v>
      </c>
      <c r="Q109" s="195">
        <f t="shared" si="22"/>
        <v>39000000</v>
      </c>
      <c r="R109" s="195">
        <v>0</v>
      </c>
      <c r="S109" s="197">
        <f t="shared" si="33"/>
        <v>80938.901095890411</v>
      </c>
      <c r="T109" s="230">
        <f t="shared" si="23"/>
        <v>80938.901095890411</v>
      </c>
      <c r="V109" s="192">
        <f t="shared" si="26"/>
        <v>498557.50508746249</v>
      </c>
      <c r="X109" s="207">
        <v>48638</v>
      </c>
      <c r="Y109" s="97">
        <f t="shared" si="34"/>
        <v>1</v>
      </c>
      <c r="Z109" s="198"/>
      <c r="AA109" s="198"/>
      <c r="AB109" s="198"/>
      <c r="AC109" s="270">
        <f t="shared" si="29"/>
        <v>0</v>
      </c>
    </row>
    <row r="110" spans="1:29" x14ac:dyDescent="0.25">
      <c r="A110" s="107"/>
      <c r="B110" s="207">
        <v>48666</v>
      </c>
      <c r="C110" s="212">
        <f t="shared" si="28"/>
        <v>28</v>
      </c>
      <c r="E110" s="189"/>
      <c r="F110" s="191">
        <v>2.2954700000000001E-2</v>
      </c>
      <c r="G110" s="198">
        <f t="shared" si="20"/>
        <v>70481527.769999981</v>
      </c>
      <c r="H110" s="199">
        <f>'BNC-A'!I120-'TD-A'!J121+'BMO-A'!H113</f>
        <v>231242.47999999672</v>
      </c>
      <c r="I110" s="198">
        <f t="shared" si="21"/>
        <v>124518.71770743806</v>
      </c>
      <c r="J110" s="229">
        <f t="shared" si="25"/>
        <v>355761.19770743477</v>
      </c>
      <c r="L110" s="198">
        <f t="shared" si="36"/>
        <v>9655664.9099999927</v>
      </c>
      <c r="M110" s="199">
        <v>20115.93</v>
      </c>
      <c r="N110" s="198">
        <f t="shared" si="35"/>
        <v>17002.74234703603</v>
      </c>
      <c r="O110" s="229">
        <f t="shared" si="32"/>
        <v>37118.67234703603</v>
      </c>
      <c r="Q110" s="195">
        <f t="shared" si="22"/>
        <v>39000000</v>
      </c>
      <c r="R110" s="195">
        <v>0</v>
      </c>
      <c r="S110" s="197">
        <f t="shared" si="33"/>
        <v>68675.431232876712</v>
      </c>
      <c r="T110" s="230">
        <f t="shared" si="23"/>
        <v>68675.431232876712</v>
      </c>
      <c r="V110" s="192">
        <f t="shared" si="26"/>
        <v>461555.30128734751</v>
      </c>
      <c r="X110" s="207">
        <v>48669</v>
      </c>
      <c r="Y110" s="97">
        <f t="shared" si="34"/>
        <v>4</v>
      </c>
      <c r="Z110" s="198"/>
      <c r="AA110" s="198"/>
      <c r="AB110" s="198"/>
      <c r="AC110" s="270">
        <f t="shared" si="29"/>
        <v>0</v>
      </c>
    </row>
    <row r="111" spans="1:29" x14ac:dyDescent="0.25">
      <c r="A111" s="107"/>
      <c r="B111" s="207">
        <v>48695</v>
      </c>
      <c r="C111" s="212">
        <f t="shared" si="28"/>
        <v>29</v>
      </c>
      <c r="E111" s="189"/>
      <c r="F111" s="191">
        <v>2.2954700000000001E-2</v>
      </c>
      <c r="G111" s="198">
        <f t="shared" si="20"/>
        <v>70249315.779999971</v>
      </c>
      <c r="H111" s="199">
        <f>'BNC-A'!I121-'TD-A'!J122+'BMO-A'!H114</f>
        <v>232211.99000000209</v>
      </c>
      <c r="I111" s="198">
        <f t="shared" si="21"/>
        <v>128544.07517687272</v>
      </c>
      <c r="J111" s="229">
        <f t="shared" si="25"/>
        <v>360756.06517687481</v>
      </c>
      <c r="L111" s="198">
        <f t="shared" si="36"/>
        <v>9635461.4299999923</v>
      </c>
      <c r="M111" s="199">
        <v>20203.48</v>
      </c>
      <c r="N111" s="198">
        <f t="shared" si="35"/>
        <v>17573.136077066862</v>
      </c>
      <c r="O111" s="229">
        <f t="shared" si="32"/>
        <v>37776.616077066865</v>
      </c>
      <c r="Q111" s="195">
        <f t="shared" si="22"/>
        <v>39000000</v>
      </c>
      <c r="R111" s="195">
        <v>0</v>
      </c>
      <c r="S111" s="197">
        <f t="shared" si="33"/>
        <v>71128.12520547946</v>
      </c>
      <c r="T111" s="230">
        <f t="shared" si="23"/>
        <v>71128.12520547946</v>
      </c>
      <c r="V111" s="192">
        <f t="shared" si="26"/>
        <v>469660.80645942112</v>
      </c>
      <c r="X111" s="207">
        <v>48699</v>
      </c>
      <c r="Y111" s="97">
        <f t="shared" si="34"/>
        <v>5</v>
      </c>
      <c r="Z111" s="198"/>
      <c r="AA111" s="198"/>
      <c r="AB111" s="198"/>
      <c r="AC111" s="270">
        <f t="shared" si="29"/>
        <v>0</v>
      </c>
    </row>
    <row r="112" spans="1:29" x14ac:dyDescent="0.25">
      <c r="A112" s="107"/>
      <c r="B112" s="207">
        <v>48725</v>
      </c>
      <c r="C112" s="212">
        <f t="shared" si="28"/>
        <v>30</v>
      </c>
      <c r="E112" s="189"/>
      <c r="F112" s="191">
        <v>2.2954700000000001E-2</v>
      </c>
      <c r="G112" s="198">
        <f t="shared" si="20"/>
        <v>70016130.219999969</v>
      </c>
      <c r="H112" s="199">
        <f>'BNC-A'!I122-'TD-A'!J123+'BMO-A'!H115</f>
        <v>233185.5599999968</v>
      </c>
      <c r="I112" s="198">
        <f t="shared" si="21"/>
        <v>132538.51799467113</v>
      </c>
      <c r="J112" s="229">
        <f t="shared" si="25"/>
        <v>365724.07799466792</v>
      </c>
      <c r="L112" s="198">
        <f t="shared" si="36"/>
        <v>9615170.0299999919</v>
      </c>
      <c r="M112" s="199">
        <v>20291.400000000001</v>
      </c>
      <c r="N112" s="198">
        <f t="shared" si="35"/>
        <v>18140.822752408832</v>
      </c>
      <c r="O112" s="229">
        <f t="shared" si="32"/>
        <v>38432.222752408838</v>
      </c>
      <c r="Q112" s="195">
        <f t="shared" si="22"/>
        <v>39000000</v>
      </c>
      <c r="R112" s="195">
        <v>0</v>
      </c>
      <c r="S112" s="197">
        <f t="shared" si="33"/>
        <v>73580.819178082194</v>
      </c>
      <c r="T112" s="230">
        <f t="shared" si="23"/>
        <v>73580.819178082194</v>
      </c>
      <c r="V112" s="192">
        <f t="shared" si="26"/>
        <v>477737.11992515891</v>
      </c>
      <c r="X112" s="207">
        <v>48730</v>
      </c>
      <c r="Y112" s="97">
        <f t="shared" si="34"/>
        <v>6</v>
      </c>
      <c r="Z112" s="198"/>
      <c r="AA112" s="198"/>
      <c r="AB112" s="198"/>
      <c r="AC112" s="270">
        <f t="shared" si="29"/>
        <v>0</v>
      </c>
    </row>
    <row r="113" spans="1:34" x14ac:dyDescent="0.25">
      <c r="A113" s="107"/>
      <c r="B113" s="207">
        <v>48757</v>
      </c>
      <c r="C113" s="212">
        <f t="shared" si="28"/>
        <v>32</v>
      </c>
      <c r="E113" s="189"/>
      <c r="F113" s="191">
        <v>2.2954700000000001E-2</v>
      </c>
      <c r="G113" s="198">
        <f t="shared" si="20"/>
        <v>69781966.989999965</v>
      </c>
      <c r="H113" s="199">
        <f>'BNC-A'!I123-'TD-A'!J124+'BMO-A'!H116</f>
        <v>234163.23000000417</v>
      </c>
      <c r="I113" s="198">
        <f t="shared" si="21"/>
        <v>140905.1409850769</v>
      </c>
      <c r="J113" s="229">
        <f t="shared" si="25"/>
        <v>375068.37098508107</v>
      </c>
      <c r="L113" s="198">
        <f t="shared" si="36"/>
        <v>9594790.319999991</v>
      </c>
      <c r="M113" s="199">
        <v>20379.71</v>
      </c>
      <c r="N113" s="198">
        <f t="shared" si="35"/>
        <v>19309.197445129099</v>
      </c>
      <c r="O113" s="229">
        <f t="shared" si="32"/>
        <v>39688.907445129094</v>
      </c>
      <c r="Q113" s="195">
        <f t="shared" si="22"/>
        <v>39000000</v>
      </c>
      <c r="R113" s="195">
        <v>0</v>
      </c>
      <c r="S113" s="197">
        <f t="shared" si="33"/>
        <v>78486.207123287677</v>
      </c>
      <c r="T113" s="230">
        <f t="shared" si="23"/>
        <v>78486.207123287677</v>
      </c>
      <c r="V113" s="192">
        <f t="shared" si="26"/>
        <v>493243.48555349786</v>
      </c>
      <c r="X113" s="207">
        <v>48760</v>
      </c>
      <c r="Y113" s="97">
        <f t="shared" si="34"/>
        <v>4</v>
      </c>
      <c r="Z113" s="198"/>
      <c r="AA113" s="198"/>
      <c r="AB113" s="198"/>
      <c r="AC113" s="270">
        <f t="shared" si="29"/>
        <v>0</v>
      </c>
    </row>
    <row r="114" spans="1:34" x14ac:dyDescent="0.25">
      <c r="A114" s="107"/>
      <c r="B114" s="207">
        <v>48786</v>
      </c>
      <c r="C114" s="212">
        <f t="shared" si="28"/>
        <v>29</v>
      </c>
      <c r="E114" s="189"/>
      <c r="F114" s="191">
        <v>2.2954700000000001E-2</v>
      </c>
      <c r="G114" s="198">
        <f t="shared" si="20"/>
        <v>69546821.989999965</v>
      </c>
      <c r="H114" s="199">
        <f>'BNC-A'!I124-'TD-A'!J125+'BMO-A'!H117</f>
        <v>235145.00000000186</v>
      </c>
      <c r="I114" s="198">
        <f t="shared" si="21"/>
        <v>127268.21756793209</v>
      </c>
      <c r="J114" s="229">
        <f t="shared" si="25"/>
        <v>362413.21756793396</v>
      </c>
      <c r="L114" s="198">
        <f t="shared" si="36"/>
        <v>9574321.9199999906</v>
      </c>
      <c r="M114" s="199">
        <v>20468.400000000001</v>
      </c>
      <c r="N114" s="198">
        <f t="shared" si="35"/>
        <v>17461.629955982713</v>
      </c>
      <c r="O114" s="229">
        <f t="shared" si="32"/>
        <v>37930.029955982711</v>
      </c>
      <c r="Q114" s="195">
        <f t="shared" si="22"/>
        <v>39000000</v>
      </c>
      <c r="R114" s="195">
        <v>0</v>
      </c>
      <c r="S114" s="197">
        <f t="shared" si="33"/>
        <v>71128.12520547946</v>
      </c>
      <c r="T114" s="230">
        <f t="shared" si="23"/>
        <v>71128.12520547946</v>
      </c>
      <c r="V114" s="192">
        <f t="shared" si="26"/>
        <v>471471.3727293961</v>
      </c>
      <c r="X114" s="207">
        <v>48791</v>
      </c>
      <c r="Y114" s="97">
        <f t="shared" si="34"/>
        <v>6</v>
      </c>
      <c r="Z114" s="198"/>
      <c r="AA114" s="198"/>
      <c r="AB114" s="198"/>
      <c r="AC114" s="270">
        <f t="shared" si="29"/>
        <v>0</v>
      </c>
    </row>
    <row r="115" spans="1:34" x14ac:dyDescent="0.25">
      <c r="A115" s="107"/>
      <c r="B115" s="207">
        <v>48817</v>
      </c>
      <c r="C115" s="212">
        <f t="shared" si="28"/>
        <v>31</v>
      </c>
      <c r="E115" s="189"/>
      <c r="F115" s="191">
        <v>2.2954700000000001E-2</v>
      </c>
      <c r="G115" s="198">
        <f t="shared" si="20"/>
        <v>69310691.079999968</v>
      </c>
      <c r="H115" s="199">
        <f>'BNC-A'!I125-'TD-A'!J126+'BMO-A'!H118</f>
        <v>236130.90999999829</v>
      </c>
      <c r="I115" s="198">
        <f t="shared" si="21"/>
        <v>135586.90267602581</v>
      </c>
      <c r="J115" s="229">
        <f t="shared" si="25"/>
        <v>371717.8126760241</v>
      </c>
      <c r="L115" s="198">
        <f t="shared" si="36"/>
        <v>9553764.4399999902</v>
      </c>
      <c r="M115" s="199">
        <v>20557.48</v>
      </c>
      <c r="N115" s="198">
        <f t="shared" si="35"/>
        <v>18625.801902238087</v>
      </c>
      <c r="O115" s="229">
        <f t="shared" si="32"/>
        <v>39183.281902238086</v>
      </c>
      <c r="Q115" s="195">
        <f t="shared" si="22"/>
        <v>39000000</v>
      </c>
      <c r="R115" s="195">
        <v>0</v>
      </c>
      <c r="S115" s="197">
        <f t="shared" si="33"/>
        <v>76033.513150684928</v>
      </c>
      <c r="T115" s="230">
        <f t="shared" si="23"/>
        <v>76033.513150684928</v>
      </c>
      <c r="V115" s="192">
        <f t="shared" si="26"/>
        <v>486934.60772894713</v>
      </c>
      <c r="X115" s="207">
        <v>48822</v>
      </c>
      <c r="Y115" s="97">
        <f t="shared" si="34"/>
        <v>6</v>
      </c>
      <c r="Z115" s="198"/>
      <c r="AA115" s="198"/>
      <c r="AB115" s="198"/>
      <c r="AC115" s="270">
        <f t="shared" si="29"/>
        <v>0</v>
      </c>
    </row>
    <row r="116" spans="1:34" x14ac:dyDescent="0.25">
      <c r="A116" s="107"/>
      <c r="B116" s="207">
        <v>48848</v>
      </c>
      <c r="C116" s="212">
        <f t="shared" si="28"/>
        <v>31</v>
      </c>
      <c r="E116" s="189"/>
      <c r="F116" s="191">
        <v>2.2954700000000001E-2</v>
      </c>
      <c r="G116" s="198">
        <f t="shared" si="20"/>
        <v>69073570.129999965</v>
      </c>
      <c r="H116" s="199">
        <f>'BNC-A'!I126-'TD-A'!J127+'BMO-A'!H119</f>
        <v>237120.94999999553</v>
      </c>
      <c r="I116" s="198">
        <f t="shared" si="21"/>
        <v>135126.54722344203</v>
      </c>
      <c r="J116" s="229">
        <f t="shared" si="25"/>
        <v>372247.49722343753</v>
      </c>
      <c r="L116" s="198">
        <f t="shared" si="36"/>
        <v>9533117.4899999909</v>
      </c>
      <c r="M116" s="199">
        <v>20646.95</v>
      </c>
      <c r="N116" s="198">
        <f t="shared" si="35"/>
        <v>18585.549078024073</v>
      </c>
      <c r="O116" s="229">
        <f t="shared" si="32"/>
        <v>39232.499078024077</v>
      </c>
      <c r="Q116" s="195">
        <f t="shared" si="22"/>
        <v>39000000</v>
      </c>
      <c r="R116" s="195">
        <v>0</v>
      </c>
      <c r="S116" s="197">
        <f t="shared" si="33"/>
        <v>76033.513150684928</v>
      </c>
      <c r="T116" s="230">
        <f t="shared" si="23"/>
        <v>76033.513150684928</v>
      </c>
      <c r="V116" s="192">
        <f t="shared" si="26"/>
        <v>487513.50945214654</v>
      </c>
      <c r="X116" s="207">
        <v>48852</v>
      </c>
      <c r="Y116" s="97">
        <f t="shared" si="34"/>
        <v>5</v>
      </c>
      <c r="Z116" s="198"/>
      <c r="AA116" s="198"/>
      <c r="AB116" s="198"/>
      <c r="AC116" s="270">
        <f t="shared" si="29"/>
        <v>0</v>
      </c>
    </row>
    <row r="117" spans="1:34" x14ac:dyDescent="0.25">
      <c r="A117" s="107"/>
      <c r="B117" s="207">
        <v>48878</v>
      </c>
      <c r="C117" s="212">
        <f t="shared" si="28"/>
        <v>30</v>
      </c>
      <c r="E117" s="189"/>
      <c r="F117" s="191">
        <v>2.2954700000000001E-2</v>
      </c>
      <c r="G117" s="198">
        <f t="shared" si="20"/>
        <v>68835454.989999965</v>
      </c>
      <c r="H117" s="199">
        <f>'BNC-A'!I127-'TD-A'!J128+'BMO-A'!H120</f>
        <v>238115.14000000432</v>
      </c>
      <c r="I117" s="198">
        <f t="shared" si="21"/>
        <v>130320.25317231043</v>
      </c>
      <c r="J117" s="229">
        <f t="shared" si="25"/>
        <v>368435.39317231474</v>
      </c>
      <c r="L117" s="198">
        <f t="shared" si="36"/>
        <v>9512380.6899999902</v>
      </c>
      <c r="M117" s="199">
        <v>20736.8</v>
      </c>
      <c r="N117" s="198">
        <f t="shared" si="35"/>
        <v>17946.891371896669</v>
      </c>
      <c r="O117" s="229">
        <f t="shared" si="32"/>
        <v>38683.691371896668</v>
      </c>
      <c r="Q117" s="195">
        <f t="shared" si="22"/>
        <v>39000000</v>
      </c>
      <c r="R117" s="195">
        <v>0</v>
      </c>
      <c r="S117" s="197">
        <f t="shared" si="33"/>
        <v>73580.819178082194</v>
      </c>
      <c r="T117" s="230">
        <f t="shared" si="23"/>
        <v>73580.819178082194</v>
      </c>
      <c r="V117" s="192">
        <f t="shared" si="26"/>
        <v>480699.90372229356</v>
      </c>
      <c r="X117" s="207">
        <v>48883</v>
      </c>
      <c r="Y117" s="97">
        <f t="shared" si="34"/>
        <v>6</v>
      </c>
      <c r="Z117" s="198"/>
      <c r="AA117" s="198"/>
      <c r="AB117" s="198"/>
      <c r="AC117" s="270">
        <f t="shared" si="29"/>
        <v>0</v>
      </c>
    </row>
    <row r="118" spans="1:34" x14ac:dyDescent="0.25">
      <c r="A118" s="107"/>
      <c r="B118" s="207">
        <v>48911</v>
      </c>
      <c r="C118" s="212">
        <f t="shared" si="28"/>
        <v>33</v>
      </c>
      <c r="E118" s="189"/>
      <c r="F118" s="191">
        <v>2.2954700000000001E-2</v>
      </c>
      <c r="G118" s="198">
        <f t="shared" si="20"/>
        <v>68596341.459999964</v>
      </c>
      <c r="H118" s="199">
        <f>'BNC-A'!I128-'TD-A'!J129+'BMO-A'!H121</f>
        <v>239113.53000000305</v>
      </c>
      <c r="I118" s="198">
        <f t="shared" si="21"/>
        <v>142858.10470067241</v>
      </c>
      <c r="J118" s="229">
        <f t="shared" si="25"/>
        <v>381971.63470067549</v>
      </c>
      <c r="L118" s="198">
        <f t="shared" si="36"/>
        <v>9491553.6399999894</v>
      </c>
      <c r="M118" s="199">
        <v>20827.05</v>
      </c>
      <c r="N118" s="198">
        <f t="shared" si="35"/>
        <v>19698.356956776868</v>
      </c>
      <c r="O118" s="229">
        <f t="shared" si="32"/>
        <v>40525.406956776867</v>
      </c>
      <c r="Q118" s="195">
        <f t="shared" si="22"/>
        <v>39000000</v>
      </c>
      <c r="R118" s="195">
        <v>0</v>
      </c>
      <c r="S118" s="197">
        <f t="shared" si="33"/>
        <v>80938.901095890411</v>
      </c>
      <c r="T118" s="230">
        <f t="shared" si="23"/>
        <v>80938.901095890411</v>
      </c>
      <c r="V118" s="192">
        <f t="shared" si="26"/>
        <v>503435.9427533428</v>
      </c>
      <c r="X118" s="207">
        <v>48913</v>
      </c>
      <c r="Y118" s="97">
        <f t="shared" si="34"/>
        <v>3</v>
      </c>
      <c r="Z118" s="198"/>
      <c r="AA118" s="198"/>
      <c r="AB118" s="198"/>
      <c r="AC118" s="270">
        <f t="shared" si="29"/>
        <v>0</v>
      </c>
    </row>
    <row r="119" spans="1:34" ht="13.8" customHeight="1" x14ac:dyDescent="0.25">
      <c r="A119" s="107"/>
      <c r="B119" s="207">
        <v>48941</v>
      </c>
      <c r="C119" s="212">
        <f t="shared" si="28"/>
        <v>30</v>
      </c>
      <c r="E119" s="189"/>
      <c r="F119" s="191">
        <v>2.2954700000000001E-2</v>
      </c>
      <c r="G119" s="198">
        <f t="shared" si="20"/>
        <v>68356225.369999975</v>
      </c>
      <c r="H119" s="199">
        <f>'BNC-A'!I129-'TD-A'!J130+'BMO-A'!H122</f>
        <v>240116.08999999613</v>
      </c>
      <c r="I119" s="198">
        <f t="shared" si="21"/>
        <v>129419.87172426257</v>
      </c>
      <c r="J119" s="229">
        <f t="shared" si="25"/>
        <v>369535.96172425873</v>
      </c>
      <c r="L119" s="198">
        <f t="shared" si="36"/>
        <v>9470635.9499999899</v>
      </c>
      <c r="M119" s="199">
        <v>20917.689999999999</v>
      </c>
      <c r="N119" s="198">
        <f t="shared" si="35"/>
        <v>17868.132085599846</v>
      </c>
      <c r="O119" s="229">
        <f t="shared" si="32"/>
        <v>38785.822085599844</v>
      </c>
      <c r="Q119" s="195">
        <f t="shared" si="22"/>
        <v>39000000</v>
      </c>
      <c r="R119" s="195">
        <v>0</v>
      </c>
      <c r="S119" s="197">
        <f t="shared" si="33"/>
        <v>73580.819178082194</v>
      </c>
      <c r="T119" s="230">
        <f t="shared" si="23"/>
        <v>73580.819178082194</v>
      </c>
      <c r="V119" s="192">
        <f t="shared" si="26"/>
        <v>481902.60298794077</v>
      </c>
      <c r="X119" s="207">
        <v>48944</v>
      </c>
      <c r="Y119" s="97">
        <f t="shared" si="34"/>
        <v>4</v>
      </c>
      <c r="Z119" s="198"/>
      <c r="AA119" s="198"/>
      <c r="AB119" s="198"/>
      <c r="AC119" s="270">
        <f t="shared" si="29"/>
        <v>0</v>
      </c>
    </row>
    <row r="120" spans="1:34" x14ac:dyDescent="0.25">
      <c r="A120" s="107"/>
      <c r="B120" s="207">
        <v>48970</v>
      </c>
      <c r="C120" s="212">
        <f t="shared" si="28"/>
        <v>29</v>
      </c>
      <c r="E120" s="189"/>
      <c r="F120" s="191">
        <v>2.2954700000000001E-2</v>
      </c>
      <c r="G120" s="198">
        <f t="shared" si="20"/>
        <v>68115102.48999998</v>
      </c>
      <c r="H120" s="199">
        <f>'BNC-A'!I130-'TD-A'!J131+'BMO-A'!H123</f>
        <v>241122.87999999896</v>
      </c>
      <c r="I120" s="198">
        <f t="shared" si="21"/>
        <v>124667.95273567512</v>
      </c>
      <c r="J120" s="229">
        <f t="shared" si="25"/>
        <v>365790.83273567411</v>
      </c>
      <c r="L120" s="198">
        <f t="shared" si="36"/>
        <v>9449627.2299999893</v>
      </c>
      <c r="M120" s="199">
        <v>21008.720000000001</v>
      </c>
      <c r="N120" s="198">
        <f t="shared" si="35"/>
        <v>17234.212019501214</v>
      </c>
      <c r="O120" s="229">
        <f t="shared" si="32"/>
        <v>38242.932019501211</v>
      </c>
      <c r="Q120" s="195">
        <f t="shared" si="22"/>
        <v>39000000</v>
      </c>
      <c r="R120" s="195">
        <v>0</v>
      </c>
      <c r="S120" s="197">
        <f t="shared" si="33"/>
        <v>71128.12520547946</v>
      </c>
      <c r="T120" s="230">
        <f t="shared" si="23"/>
        <v>71128.12520547946</v>
      </c>
      <c r="V120" s="192">
        <f t="shared" si="26"/>
        <v>475161.88996065478</v>
      </c>
      <c r="X120" s="207">
        <v>48975</v>
      </c>
      <c r="Y120" s="97">
        <f t="shared" si="34"/>
        <v>6</v>
      </c>
      <c r="Z120" s="198"/>
      <c r="AA120" s="198"/>
      <c r="AB120" s="198"/>
      <c r="AC120" s="270">
        <f t="shared" si="29"/>
        <v>0</v>
      </c>
    </row>
    <row r="121" spans="1:34" x14ac:dyDescent="0.25">
      <c r="A121" s="107"/>
      <c r="B121" s="207">
        <v>49002</v>
      </c>
      <c r="C121" s="212">
        <f t="shared" si="28"/>
        <v>32</v>
      </c>
      <c r="E121" s="189"/>
      <c r="F121" s="191">
        <v>2.2954700000000001E-2</v>
      </c>
      <c r="G121" s="198">
        <f t="shared" si="20"/>
        <v>67872968.599999979</v>
      </c>
      <c r="H121" s="199">
        <f>'BNC-A'!I131-'TD-A'!J132+'BMO-A'!H124</f>
        <v>242133.89000000246</v>
      </c>
      <c r="I121" s="198">
        <f t="shared" si="21"/>
        <v>137079.38569882323</v>
      </c>
      <c r="J121" s="229">
        <f t="shared" si="25"/>
        <v>379213.27569882572</v>
      </c>
      <c r="L121" s="198">
        <f t="shared" si="36"/>
        <v>9428527.0799999889</v>
      </c>
      <c r="M121" s="199">
        <v>21100.15</v>
      </c>
      <c r="N121" s="198">
        <f t="shared" si="35"/>
        <v>18974.598186369381</v>
      </c>
      <c r="O121" s="229">
        <f t="shared" si="32"/>
        <v>40074.748186369383</v>
      </c>
      <c r="Q121" s="195">
        <f t="shared" si="22"/>
        <v>39000000</v>
      </c>
      <c r="R121" s="195">
        <v>0</v>
      </c>
      <c r="S121" s="197">
        <f t="shared" si="33"/>
        <v>78486.207123287677</v>
      </c>
      <c r="T121" s="230">
        <f t="shared" si="23"/>
        <v>78486.207123287677</v>
      </c>
      <c r="V121" s="192">
        <f t="shared" si="26"/>
        <v>497774.23100848275</v>
      </c>
      <c r="X121" s="207">
        <v>49003</v>
      </c>
      <c r="Y121" s="97">
        <f t="shared" si="34"/>
        <v>2</v>
      </c>
      <c r="Z121" s="198"/>
      <c r="AA121" s="198"/>
      <c r="AB121" s="198"/>
      <c r="AC121" s="270">
        <f t="shared" si="29"/>
        <v>0</v>
      </c>
    </row>
    <row r="122" spans="1:34" x14ac:dyDescent="0.25">
      <c r="A122" s="107"/>
      <c r="B122" s="207">
        <v>49030</v>
      </c>
      <c r="C122" s="212">
        <f t="shared" si="28"/>
        <v>28</v>
      </c>
      <c r="E122" s="189"/>
      <c r="F122" s="191">
        <v>2.2954700000000001E-2</v>
      </c>
      <c r="G122" s="198">
        <f t="shared" si="20"/>
        <v>67629819.449999988</v>
      </c>
      <c r="H122" s="199">
        <f>'BNC-A'!I132-'TD-A'!J133+'BMO-A'!H125</f>
        <v>243149.14999999851</v>
      </c>
      <c r="I122" s="198">
        <f t="shared" si="21"/>
        <v>119518.08686308973</v>
      </c>
      <c r="J122" s="229">
        <f t="shared" si="25"/>
        <v>362667.23686308821</v>
      </c>
      <c r="L122" s="198">
        <f t="shared" si="36"/>
        <v>9407335.0999999885</v>
      </c>
      <c r="M122" s="199">
        <v>21191.98</v>
      </c>
      <c r="N122" s="198">
        <f t="shared" si="35"/>
        <v>16565.45627550453</v>
      </c>
      <c r="O122" s="229">
        <f t="shared" si="32"/>
        <v>37757.436275504529</v>
      </c>
      <c r="Q122" s="195">
        <f t="shared" si="22"/>
        <v>39000000</v>
      </c>
      <c r="R122" s="195">
        <v>0</v>
      </c>
      <c r="S122" s="197">
        <f t="shared" si="33"/>
        <v>68675.431232876712</v>
      </c>
      <c r="T122" s="230">
        <f t="shared" si="23"/>
        <v>68675.431232876712</v>
      </c>
      <c r="V122" s="192">
        <f t="shared" si="26"/>
        <v>469100.10437146947</v>
      </c>
      <c r="X122" s="207">
        <v>49034</v>
      </c>
      <c r="Y122" s="97">
        <f t="shared" si="34"/>
        <v>5</v>
      </c>
      <c r="Z122" s="198"/>
      <c r="AA122" s="198"/>
      <c r="AB122" s="198"/>
      <c r="AC122" s="270">
        <f t="shared" si="29"/>
        <v>0</v>
      </c>
    </row>
    <row r="123" spans="1:34" x14ac:dyDescent="0.25">
      <c r="A123" s="107"/>
      <c r="B123" s="207">
        <v>49060</v>
      </c>
      <c r="C123" s="212">
        <f t="shared" si="28"/>
        <v>30</v>
      </c>
      <c r="E123" s="189"/>
      <c r="F123" s="191">
        <v>2.2954700000000001E-2</v>
      </c>
      <c r="G123" s="198">
        <f t="shared" si="20"/>
        <v>67385650.780000001</v>
      </c>
      <c r="H123" s="199">
        <f>'BNC-A'!I133-'TD-A'!J134+'BMO-A'!H126</f>
        <v>244168.66999999434</v>
      </c>
      <c r="I123" s="198">
        <f t="shared" si="21"/>
        <v>127596.34656402039</v>
      </c>
      <c r="J123" s="229">
        <f t="shared" si="25"/>
        <v>371765.01656401472</v>
      </c>
      <c r="L123" s="198">
        <f t="shared" si="36"/>
        <v>9386050.8899999876</v>
      </c>
      <c r="M123" s="199">
        <v>21284.21</v>
      </c>
      <c r="N123" s="198">
        <f t="shared" si="35"/>
        <v>17708.546495727347</v>
      </c>
      <c r="O123" s="229">
        <f t="shared" si="32"/>
        <v>38992.756495727343</v>
      </c>
      <c r="Q123" s="195">
        <f t="shared" si="22"/>
        <v>39000000</v>
      </c>
      <c r="R123" s="195">
        <v>0</v>
      </c>
      <c r="S123" s="197">
        <f t="shared" si="33"/>
        <v>73580.819178082194</v>
      </c>
      <c r="T123" s="230">
        <f t="shared" si="23"/>
        <v>73580.819178082194</v>
      </c>
      <c r="V123" s="192">
        <f t="shared" si="26"/>
        <v>484338.59223782422</v>
      </c>
      <c r="X123" s="207">
        <v>49064</v>
      </c>
      <c r="Y123" s="97">
        <f t="shared" si="34"/>
        <v>5</v>
      </c>
      <c r="Z123" s="198"/>
      <c r="AA123" s="198"/>
      <c r="AB123" s="198"/>
      <c r="AC123" s="270">
        <f t="shared" si="29"/>
        <v>0</v>
      </c>
    </row>
    <row r="124" spans="1:34" x14ac:dyDescent="0.25">
      <c r="A124" s="107"/>
      <c r="B124" s="207">
        <v>49090</v>
      </c>
      <c r="C124" s="212">
        <f t="shared" si="28"/>
        <v>30</v>
      </c>
      <c r="E124" s="189"/>
      <c r="F124" s="191">
        <v>2.2954700000000001E-2</v>
      </c>
      <c r="G124" s="198">
        <f t="shared" si="20"/>
        <v>67140458.289999992</v>
      </c>
      <c r="H124" s="199">
        <f>'BNC-A'!I134-'TD-A'!J135+'BMO-A'!H127</f>
        <v>245192.49000000395</v>
      </c>
      <c r="I124" s="198">
        <f t="shared" si="21"/>
        <v>127135.6765446301</v>
      </c>
      <c r="J124" s="229">
        <f t="shared" si="25"/>
        <v>372328.16654463403</v>
      </c>
      <c r="L124" s="198">
        <f t="shared" si="36"/>
        <v>9364674.0499999877</v>
      </c>
      <c r="M124" s="199">
        <v>21376.84</v>
      </c>
      <c r="N124" s="198">
        <f t="shared" si="35"/>
        <v>17668.215075249431</v>
      </c>
      <c r="O124" s="229">
        <f t="shared" si="32"/>
        <v>39045.055075249431</v>
      </c>
      <c r="Q124" s="195">
        <f t="shared" si="22"/>
        <v>39000000</v>
      </c>
      <c r="R124" s="195">
        <v>0</v>
      </c>
      <c r="S124" s="197">
        <f t="shared" si="33"/>
        <v>73580.819178082194</v>
      </c>
      <c r="T124" s="230">
        <f t="shared" si="23"/>
        <v>73580.819178082194</v>
      </c>
      <c r="V124" s="192">
        <f t="shared" si="26"/>
        <v>484954.0407979656</v>
      </c>
      <c r="X124" s="207">
        <v>49095</v>
      </c>
      <c r="Y124" s="97">
        <f t="shared" si="34"/>
        <v>6</v>
      </c>
      <c r="Z124" s="198"/>
      <c r="AA124" s="198"/>
      <c r="AB124" s="198"/>
      <c r="AC124" s="270">
        <f t="shared" si="29"/>
        <v>0</v>
      </c>
    </row>
    <row r="125" spans="1:34" x14ac:dyDescent="0.25">
      <c r="A125" s="107"/>
      <c r="B125" s="208">
        <v>49122</v>
      </c>
      <c r="C125" s="214">
        <f t="shared" si="28"/>
        <v>32</v>
      </c>
      <c r="E125" s="215"/>
      <c r="F125" s="216">
        <v>2.2954700000000001E-2</v>
      </c>
      <c r="G125" s="211">
        <f t="shared" si="20"/>
        <v>66894237.709999993</v>
      </c>
      <c r="H125" s="210">
        <f>'BNC-A'!I135-'TD-A'!J136+'BMO-A'!H128</f>
        <v>246220.57999999984</v>
      </c>
      <c r="I125" s="211">
        <f t="shared" si="21"/>
        <v>135117.94655644606</v>
      </c>
      <c r="J125" s="229">
        <f t="shared" si="25"/>
        <v>381338.52655644587</v>
      </c>
      <c r="L125" s="198">
        <f t="shared" si="36"/>
        <v>9343204.1799999885</v>
      </c>
      <c r="M125" s="199">
        <v>21469.87</v>
      </c>
      <c r="N125" s="198">
        <f t="shared" si="35"/>
        <v>18802.888678631956</v>
      </c>
      <c r="O125" s="229">
        <f t="shared" si="32"/>
        <v>40272.758678631959</v>
      </c>
      <c r="Q125" s="217">
        <f t="shared" si="22"/>
        <v>39000000</v>
      </c>
      <c r="R125" s="217">
        <v>0</v>
      </c>
      <c r="S125" s="218">
        <f t="shared" si="33"/>
        <v>78486.207123287677</v>
      </c>
      <c r="T125" s="231">
        <f t="shared" si="23"/>
        <v>78486.207123287677</v>
      </c>
      <c r="V125" s="192">
        <f t="shared" si="26"/>
        <v>500097.4923583655</v>
      </c>
      <c r="X125" s="208">
        <v>49125</v>
      </c>
      <c r="Y125" s="258">
        <f t="shared" si="34"/>
        <v>4</v>
      </c>
      <c r="Z125" s="211"/>
      <c r="AA125" s="211"/>
      <c r="AB125" s="211"/>
      <c r="AC125" s="270">
        <f t="shared" si="29"/>
        <v>0</v>
      </c>
    </row>
    <row r="126" spans="1:34" ht="14.4" x14ac:dyDescent="0.3">
      <c r="A126" s="107"/>
      <c r="B126" s="213"/>
      <c r="C126" s="108"/>
      <c r="M126" s="83"/>
    </row>
    <row r="127" spans="1:34" x14ac:dyDescent="0.25">
      <c r="A127" s="107"/>
      <c r="B127" s="108"/>
      <c r="C127" s="108"/>
      <c r="AD127" s="299"/>
      <c r="AE127" s="299"/>
      <c r="AF127" s="299"/>
      <c r="AG127" s="299"/>
      <c r="AH127" s="298"/>
    </row>
    <row r="128" spans="1:34" x14ac:dyDescent="0.25">
      <c r="A128" s="107"/>
      <c r="B128" s="108"/>
      <c r="C128" s="108"/>
      <c r="AD128" s="299"/>
      <c r="AE128" s="299"/>
      <c r="AF128" s="299"/>
      <c r="AG128" s="299"/>
      <c r="AH128" s="298"/>
    </row>
    <row r="129" spans="1:34" x14ac:dyDescent="0.25">
      <c r="A129" s="107"/>
      <c r="B129" s="108"/>
      <c r="C129" s="108"/>
      <c r="AD129" s="299"/>
      <c r="AE129" s="299"/>
      <c r="AF129" s="299"/>
      <c r="AG129" s="299"/>
      <c r="AH129" s="298"/>
    </row>
    <row r="130" spans="1:34" x14ac:dyDescent="0.25">
      <c r="A130" s="107"/>
      <c r="B130" s="108"/>
      <c r="C130" s="108"/>
      <c r="AD130" s="299"/>
      <c r="AE130" s="299"/>
      <c r="AF130" s="299"/>
      <c r="AG130" s="299"/>
      <c r="AH130" s="298"/>
    </row>
    <row r="131" spans="1:34" x14ac:dyDescent="0.25">
      <c r="A131" s="107"/>
      <c r="B131" s="108"/>
      <c r="C131" s="108"/>
      <c r="AD131" s="299"/>
      <c r="AE131" s="299"/>
      <c r="AF131" s="299"/>
      <c r="AG131" s="299"/>
      <c r="AH131" s="298"/>
    </row>
    <row r="132" spans="1:34" ht="13.8" customHeight="1" x14ac:dyDescent="0.25">
      <c r="A132" s="107"/>
      <c r="B132" s="108"/>
      <c r="C132" s="108"/>
      <c r="AD132" s="299"/>
      <c r="AE132" s="299"/>
      <c r="AF132" s="299"/>
      <c r="AG132" s="299"/>
      <c r="AH132" s="298"/>
    </row>
    <row r="133" spans="1:34" x14ac:dyDescent="0.25">
      <c r="A133" s="107"/>
      <c r="B133" s="108"/>
      <c r="C133" s="108"/>
      <c r="AD133" s="299"/>
      <c r="AE133" s="299"/>
      <c r="AF133" s="299"/>
      <c r="AG133" s="299"/>
      <c r="AH133" s="298"/>
    </row>
    <row r="134" spans="1:34" x14ac:dyDescent="0.25">
      <c r="A134" s="107"/>
      <c r="B134" s="108"/>
      <c r="C134" s="108"/>
      <c r="AD134" s="299"/>
      <c r="AE134" s="299"/>
      <c r="AF134" s="299"/>
      <c r="AG134" s="299"/>
      <c r="AH134" s="298"/>
    </row>
    <row r="135" spans="1:34" x14ac:dyDescent="0.25">
      <c r="A135" s="107"/>
      <c r="B135" s="108"/>
      <c r="C135" s="108"/>
      <c r="AD135" s="299"/>
      <c r="AE135" s="299"/>
      <c r="AF135" s="299"/>
      <c r="AG135" s="299"/>
      <c r="AH135" s="298"/>
    </row>
    <row r="136" spans="1:34" x14ac:dyDescent="0.25">
      <c r="A136" s="107"/>
      <c r="B136" s="108"/>
      <c r="C136" s="108"/>
      <c r="AD136" s="299"/>
      <c r="AE136" s="299"/>
      <c r="AF136" s="299"/>
      <c r="AG136" s="299"/>
      <c r="AH136" s="298"/>
    </row>
    <row r="137" spans="1:34" x14ac:dyDescent="0.25">
      <c r="A137" s="107"/>
      <c r="B137" s="108"/>
      <c r="C137" s="108"/>
      <c r="AD137" s="299"/>
      <c r="AE137" s="299"/>
      <c r="AF137" s="299"/>
      <c r="AG137" s="299"/>
      <c r="AH137" s="298"/>
    </row>
    <row r="138" spans="1:34" x14ac:dyDescent="0.25">
      <c r="A138" s="107"/>
      <c r="B138" s="108"/>
      <c r="C138" s="108"/>
      <c r="AD138" s="299"/>
      <c r="AE138" s="299"/>
      <c r="AF138" s="299"/>
      <c r="AG138" s="299"/>
      <c r="AH138" s="298"/>
    </row>
    <row r="139" spans="1:34" ht="13.8" customHeight="1" x14ac:dyDescent="0.25">
      <c r="A139" s="107"/>
      <c r="B139" s="108"/>
      <c r="C139" s="108"/>
      <c r="AD139" s="299"/>
      <c r="AE139" s="299"/>
      <c r="AF139" s="299"/>
      <c r="AG139" s="299"/>
      <c r="AH139" s="298"/>
    </row>
    <row r="140" spans="1:34" x14ac:dyDescent="0.25">
      <c r="A140" s="107"/>
      <c r="B140" s="108"/>
      <c r="C140" s="108"/>
      <c r="AD140" s="299"/>
      <c r="AE140" s="299"/>
      <c r="AF140" s="299"/>
      <c r="AG140" s="299"/>
      <c r="AH140" s="298"/>
    </row>
    <row r="141" spans="1:34" x14ac:dyDescent="0.25">
      <c r="A141" s="107"/>
      <c r="B141" s="108"/>
      <c r="C141" s="108"/>
      <c r="AD141" s="299"/>
      <c r="AE141" s="299"/>
      <c r="AF141" s="299"/>
      <c r="AG141" s="299"/>
      <c r="AH141" s="298"/>
    </row>
    <row r="142" spans="1:34" x14ac:dyDescent="0.25">
      <c r="A142" s="107"/>
      <c r="B142" s="108"/>
      <c r="C142" s="108"/>
      <c r="AD142" s="299"/>
      <c r="AE142" s="299"/>
      <c r="AF142" s="299"/>
      <c r="AG142" s="299"/>
      <c r="AH142" s="298"/>
    </row>
    <row r="143" spans="1:34" x14ac:dyDescent="0.25">
      <c r="A143" s="107"/>
      <c r="B143" s="108"/>
      <c r="C143" s="108"/>
      <c r="AD143" s="299"/>
      <c r="AE143" s="299"/>
      <c r="AF143" s="299"/>
      <c r="AG143" s="299"/>
      <c r="AH143" s="298"/>
    </row>
    <row r="144" spans="1:34" x14ac:dyDescent="0.25">
      <c r="A144" s="107"/>
      <c r="B144" s="108"/>
      <c r="C144" s="108"/>
      <c r="AD144" s="299"/>
      <c r="AE144" s="299"/>
      <c r="AF144" s="299"/>
      <c r="AG144" s="299"/>
      <c r="AH144" s="298"/>
    </row>
    <row r="145" spans="1:34" ht="13.8" customHeight="1" x14ac:dyDescent="0.25">
      <c r="A145" s="107"/>
      <c r="B145" s="108"/>
      <c r="C145" s="108"/>
      <c r="AD145" s="299"/>
      <c r="AE145" s="299"/>
      <c r="AF145" s="299"/>
      <c r="AG145" s="299"/>
      <c r="AH145" s="298"/>
    </row>
    <row r="146" spans="1:34" x14ac:dyDescent="0.25">
      <c r="A146" s="107"/>
      <c r="B146" s="108"/>
      <c r="AD146" s="299"/>
      <c r="AE146" s="299"/>
      <c r="AF146" s="299"/>
      <c r="AG146" s="299"/>
      <c r="AH146" s="298"/>
    </row>
    <row r="147" spans="1:34" x14ac:dyDescent="0.25">
      <c r="A147" s="107"/>
      <c r="B147" s="108"/>
      <c r="AD147" s="299"/>
      <c r="AE147" s="299"/>
      <c r="AF147" s="299"/>
      <c r="AG147" s="299"/>
      <c r="AH147" s="298"/>
    </row>
    <row r="148" spans="1:34" x14ac:dyDescent="0.25">
      <c r="A148" s="107"/>
      <c r="B148" s="108"/>
      <c r="AD148" s="299"/>
      <c r="AE148" s="299"/>
      <c r="AF148" s="299"/>
      <c r="AG148" s="299"/>
      <c r="AH148" s="298"/>
    </row>
    <row r="149" spans="1:34" x14ac:dyDescent="0.25">
      <c r="A149" s="107"/>
      <c r="AD149" s="299"/>
      <c r="AE149" s="299"/>
      <c r="AF149" s="299"/>
      <c r="AG149" s="299"/>
      <c r="AH149" s="298"/>
    </row>
    <row r="150" spans="1:34" x14ac:dyDescent="0.25">
      <c r="A150" s="107"/>
      <c r="AD150" s="299"/>
      <c r="AE150" s="299"/>
      <c r="AF150" s="299"/>
      <c r="AG150" s="299"/>
      <c r="AH150" s="298"/>
    </row>
    <row r="151" spans="1:34" x14ac:dyDescent="0.25">
      <c r="A151" s="107"/>
      <c r="AD151" s="299"/>
      <c r="AE151" s="299"/>
      <c r="AF151" s="299"/>
      <c r="AG151" s="299"/>
      <c r="AH151" s="298"/>
    </row>
    <row r="152" spans="1:34" ht="13.8" customHeight="1" x14ac:dyDescent="0.25">
      <c r="A152" s="107"/>
      <c r="AD152" s="299"/>
      <c r="AE152" s="299"/>
      <c r="AF152" s="299"/>
      <c r="AG152" s="299"/>
      <c r="AH152" s="298"/>
    </row>
    <row r="153" spans="1:34" x14ac:dyDescent="0.25">
      <c r="A153" s="107"/>
      <c r="AD153" s="299"/>
      <c r="AE153" s="299"/>
      <c r="AF153" s="299"/>
      <c r="AG153" s="299"/>
      <c r="AH153" s="298"/>
    </row>
    <row r="154" spans="1:34" x14ac:dyDescent="0.25">
      <c r="AD154" s="299"/>
      <c r="AE154" s="299"/>
      <c r="AF154" s="299"/>
      <c r="AG154" s="299"/>
      <c r="AH154" s="298"/>
    </row>
    <row r="155" spans="1:34" x14ac:dyDescent="0.25">
      <c r="AD155" s="299"/>
      <c r="AE155" s="299"/>
      <c r="AF155" s="299"/>
      <c r="AG155" s="299"/>
      <c r="AH155" s="298"/>
    </row>
    <row r="156" spans="1:34" x14ac:dyDescent="0.25">
      <c r="AD156" s="299"/>
      <c r="AE156" s="299"/>
      <c r="AF156" s="299"/>
      <c r="AG156" s="299"/>
      <c r="AH156" s="298"/>
    </row>
    <row r="157" spans="1:34" x14ac:dyDescent="0.25">
      <c r="AD157" s="299"/>
      <c r="AE157" s="299"/>
      <c r="AF157" s="299"/>
      <c r="AG157" s="299"/>
      <c r="AH157" s="298"/>
    </row>
    <row r="158" spans="1:34" x14ac:dyDescent="0.25">
      <c r="AD158" s="299"/>
      <c r="AE158" s="299"/>
      <c r="AF158" s="299"/>
      <c r="AG158" s="299"/>
      <c r="AH158" s="298"/>
    </row>
    <row r="159" spans="1:34" x14ac:dyDescent="0.25">
      <c r="AD159" s="299"/>
      <c r="AE159" s="299"/>
      <c r="AF159" s="299"/>
      <c r="AG159" s="299"/>
      <c r="AH159" s="298"/>
    </row>
    <row r="160" spans="1:34" x14ac:dyDescent="0.25">
      <c r="AD160" s="299"/>
      <c r="AE160" s="299"/>
      <c r="AF160" s="299"/>
      <c r="AG160" s="299"/>
      <c r="AH160" s="298"/>
    </row>
    <row r="161" spans="30:34" x14ac:dyDescent="0.25">
      <c r="AD161" s="299"/>
      <c r="AE161" s="299"/>
      <c r="AF161" s="299"/>
      <c r="AG161" s="299"/>
      <c r="AH161" s="298"/>
    </row>
    <row r="162" spans="30:34" x14ac:dyDescent="0.25">
      <c r="AD162" s="299"/>
      <c r="AE162" s="299"/>
      <c r="AF162" s="299"/>
      <c r="AG162" s="299"/>
      <c r="AH162" s="298"/>
    </row>
    <row r="163" spans="30:34" x14ac:dyDescent="0.25">
      <c r="AD163" s="299"/>
      <c r="AE163" s="299"/>
      <c r="AF163" s="299"/>
      <c r="AG163" s="299"/>
      <c r="AH163" s="298"/>
    </row>
    <row r="164" spans="30:34" x14ac:dyDescent="0.25">
      <c r="AD164" s="299"/>
      <c r="AE164" s="299"/>
      <c r="AF164" s="299"/>
      <c r="AG164" s="299"/>
      <c r="AH164" s="298"/>
    </row>
    <row r="165" spans="30:34" ht="13.8" customHeight="1" x14ac:dyDescent="0.25">
      <c r="AD165" s="299"/>
      <c r="AE165" s="299"/>
      <c r="AF165" s="299"/>
      <c r="AG165" s="299"/>
      <c r="AH165" s="298"/>
    </row>
    <row r="166" spans="30:34" x14ac:dyDescent="0.25">
      <c r="AD166" s="299"/>
      <c r="AE166" s="299"/>
      <c r="AF166" s="299"/>
      <c r="AG166" s="299"/>
      <c r="AH166" s="298"/>
    </row>
    <row r="167" spans="30:34" x14ac:dyDescent="0.25">
      <c r="AD167" s="299"/>
      <c r="AE167" s="299"/>
      <c r="AF167" s="299"/>
      <c r="AG167" s="299"/>
      <c r="AH167" s="298"/>
    </row>
    <row r="168" spans="30:34" x14ac:dyDescent="0.25">
      <c r="AD168" s="299"/>
      <c r="AE168" s="299"/>
      <c r="AF168" s="299"/>
      <c r="AG168" s="299"/>
      <c r="AH168" s="298"/>
    </row>
    <row r="169" spans="30:34" x14ac:dyDescent="0.25">
      <c r="AD169" s="299"/>
      <c r="AE169" s="299"/>
      <c r="AF169" s="299"/>
      <c r="AG169" s="299"/>
      <c r="AH169" s="298"/>
    </row>
    <row r="170" spans="30:34" x14ac:dyDescent="0.25">
      <c r="AD170" s="299"/>
      <c r="AE170" s="299"/>
      <c r="AF170" s="299"/>
      <c r="AG170" s="299"/>
      <c r="AH170" s="298"/>
    </row>
    <row r="171" spans="30:34" x14ac:dyDescent="0.25">
      <c r="AD171" s="299"/>
      <c r="AE171" s="299"/>
      <c r="AF171" s="299"/>
      <c r="AG171" s="299"/>
      <c r="AH171" s="298"/>
    </row>
    <row r="172" spans="30:34" x14ac:dyDescent="0.25">
      <c r="AD172" s="299"/>
      <c r="AE172" s="299"/>
      <c r="AF172" s="299"/>
      <c r="AG172" s="299"/>
      <c r="AH172" s="298"/>
    </row>
    <row r="173" spans="30:34" x14ac:dyDescent="0.25">
      <c r="AD173" s="299"/>
      <c r="AE173" s="299"/>
      <c r="AF173" s="299"/>
      <c r="AG173" s="299"/>
      <c r="AH173" s="298"/>
    </row>
    <row r="174" spans="30:34" x14ac:dyDescent="0.25">
      <c r="AD174" s="299"/>
      <c r="AE174" s="299"/>
      <c r="AF174" s="299"/>
      <c r="AG174" s="299"/>
      <c r="AH174" s="298"/>
    </row>
    <row r="175" spans="30:34" x14ac:dyDescent="0.25">
      <c r="AD175" s="299"/>
      <c r="AE175" s="299"/>
      <c r="AF175" s="299"/>
      <c r="AG175" s="299"/>
      <c r="AH175" s="298"/>
    </row>
    <row r="176" spans="30:34" x14ac:dyDescent="0.25">
      <c r="AD176" s="299"/>
      <c r="AE176" s="299"/>
      <c r="AF176" s="299"/>
      <c r="AG176" s="299"/>
      <c r="AH176" s="298"/>
    </row>
    <row r="177" spans="30:34" x14ac:dyDescent="0.25">
      <c r="AD177" s="299"/>
      <c r="AE177" s="299"/>
      <c r="AF177" s="299"/>
      <c r="AG177" s="299"/>
      <c r="AH177" s="298"/>
    </row>
    <row r="178" spans="30:34" ht="13.8" customHeight="1" x14ac:dyDescent="0.25">
      <c r="AD178" s="299"/>
      <c r="AE178" s="299"/>
      <c r="AF178" s="299"/>
      <c r="AG178" s="299"/>
      <c r="AH178" s="298"/>
    </row>
    <row r="179" spans="30:34" x14ac:dyDescent="0.25">
      <c r="AD179" s="299"/>
      <c r="AE179" s="299"/>
      <c r="AF179" s="299"/>
      <c r="AG179" s="299"/>
      <c r="AH179" s="298"/>
    </row>
    <row r="180" spans="30:34" x14ac:dyDescent="0.25">
      <c r="AD180" s="299"/>
      <c r="AE180" s="299"/>
      <c r="AF180" s="299"/>
      <c r="AG180" s="299"/>
      <c r="AH180" s="298"/>
    </row>
    <row r="181" spans="30:34" x14ac:dyDescent="0.25">
      <c r="AD181" s="299"/>
      <c r="AE181" s="299"/>
      <c r="AF181" s="299"/>
      <c r="AG181" s="299"/>
      <c r="AH181" s="298"/>
    </row>
    <row r="182" spans="30:34" x14ac:dyDescent="0.25">
      <c r="AD182" s="299"/>
      <c r="AE182" s="299"/>
      <c r="AF182" s="299"/>
      <c r="AG182" s="299"/>
      <c r="AH182" s="298"/>
    </row>
    <row r="183" spans="30:34" x14ac:dyDescent="0.25">
      <c r="AD183" s="299"/>
      <c r="AE183" s="299"/>
      <c r="AF183" s="299"/>
      <c r="AG183" s="299"/>
      <c r="AH183" s="298"/>
    </row>
    <row r="184" spans="30:34" x14ac:dyDescent="0.25">
      <c r="AD184" s="299"/>
      <c r="AE184" s="299"/>
      <c r="AF184" s="299"/>
      <c r="AG184" s="299"/>
      <c r="AH184" s="298"/>
    </row>
    <row r="185" spans="30:34" x14ac:dyDescent="0.25">
      <c r="AD185" s="299"/>
      <c r="AE185" s="299"/>
      <c r="AF185" s="299"/>
      <c r="AG185" s="299"/>
      <c r="AH185" s="298"/>
    </row>
    <row r="186" spans="30:34" x14ac:dyDescent="0.25">
      <c r="AD186" s="299"/>
      <c r="AE186" s="299"/>
      <c r="AF186" s="299"/>
      <c r="AG186" s="299"/>
      <c r="AH186" s="298"/>
    </row>
    <row r="187" spans="30:34" x14ac:dyDescent="0.25">
      <c r="AD187" s="299"/>
      <c r="AE187" s="299"/>
      <c r="AF187" s="299"/>
      <c r="AG187" s="299"/>
      <c r="AH187" s="298"/>
    </row>
    <row r="188" spans="30:34" x14ac:dyDescent="0.25">
      <c r="AD188" s="299"/>
      <c r="AE188" s="299"/>
      <c r="AF188" s="299"/>
      <c r="AG188" s="299"/>
      <c r="AH188" s="298"/>
    </row>
    <row r="189" spans="30:34" x14ac:dyDescent="0.25">
      <c r="AD189" s="299"/>
      <c r="AE189" s="299"/>
      <c r="AF189" s="299"/>
      <c r="AG189" s="299"/>
      <c r="AH189" s="298"/>
    </row>
    <row r="190" spans="30:34" x14ac:dyDescent="0.25">
      <c r="AD190" s="299"/>
      <c r="AE190" s="299"/>
      <c r="AF190" s="299"/>
      <c r="AG190" s="299"/>
      <c r="AH190" s="298"/>
    </row>
    <row r="191" spans="30:34" ht="13.8" customHeight="1" x14ac:dyDescent="0.25">
      <c r="AD191" s="299"/>
      <c r="AE191" s="299"/>
      <c r="AF191" s="299"/>
      <c r="AG191" s="299"/>
      <c r="AH191" s="298"/>
    </row>
    <row r="192" spans="30:34" x14ac:dyDescent="0.25">
      <c r="AD192" s="299"/>
      <c r="AE192" s="299"/>
      <c r="AF192" s="299"/>
      <c r="AG192" s="299"/>
      <c r="AH192" s="298"/>
    </row>
    <row r="193" spans="30:34" x14ac:dyDescent="0.25">
      <c r="AD193" s="299"/>
      <c r="AE193" s="299"/>
      <c r="AF193" s="299"/>
      <c r="AG193" s="299"/>
      <c r="AH193" s="298"/>
    </row>
    <row r="194" spans="30:34" x14ac:dyDescent="0.25">
      <c r="AD194" s="299"/>
      <c r="AE194" s="299"/>
      <c r="AF194" s="299"/>
      <c r="AG194" s="299"/>
      <c r="AH194" s="298"/>
    </row>
    <row r="195" spans="30:34" x14ac:dyDescent="0.25">
      <c r="AD195" s="299"/>
      <c r="AE195" s="299"/>
      <c r="AF195" s="299"/>
      <c r="AG195" s="299"/>
      <c r="AH195" s="298"/>
    </row>
    <row r="196" spans="30:34" x14ac:dyDescent="0.25">
      <c r="AD196" s="299"/>
      <c r="AE196" s="299"/>
      <c r="AF196" s="299"/>
      <c r="AG196" s="299"/>
      <c r="AH196" s="298"/>
    </row>
    <row r="197" spans="30:34" x14ac:dyDescent="0.25">
      <c r="AD197" s="299"/>
      <c r="AE197" s="299"/>
      <c r="AF197" s="299"/>
      <c r="AG197" s="299"/>
      <c r="AH197" s="298"/>
    </row>
    <row r="198" spans="30:34" x14ac:dyDescent="0.25">
      <c r="AD198" s="299"/>
      <c r="AE198" s="299"/>
      <c r="AF198" s="299"/>
      <c r="AG198" s="299"/>
      <c r="AH198" s="298"/>
    </row>
    <row r="199" spans="30:34" x14ac:dyDescent="0.25">
      <c r="AD199" s="299"/>
      <c r="AE199" s="299"/>
      <c r="AF199" s="299"/>
      <c r="AG199" s="299"/>
      <c r="AH199" s="298"/>
    </row>
    <row r="200" spans="30:34" x14ac:dyDescent="0.25">
      <c r="AD200" s="299"/>
      <c r="AE200" s="299"/>
      <c r="AF200" s="299"/>
      <c r="AG200" s="299"/>
      <c r="AH200" s="298"/>
    </row>
    <row r="201" spans="30:34" x14ac:dyDescent="0.25">
      <c r="AD201" s="299"/>
      <c r="AE201" s="299"/>
      <c r="AF201" s="299"/>
      <c r="AG201" s="299"/>
      <c r="AH201" s="298"/>
    </row>
    <row r="202" spans="30:34" x14ac:dyDescent="0.25">
      <c r="AD202" s="299"/>
      <c r="AE202" s="299"/>
      <c r="AF202" s="299"/>
      <c r="AG202" s="299"/>
      <c r="AH202" s="298"/>
    </row>
    <row r="203" spans="30:34" x14ac:dyDescent="0.25">
      <c r="AD203" s="299"/>
      <c r="AE203" s="299"/>
      <c r="AF203" s="299"/>
      <c r="AG203" s="299"/>
      <c r="AH203" s="298"/>
    </row>
    <row r="204" spans="30:34" ht="13.8" customHeight="1" x14ac:dyDescent="0.25">
      <c r="AD204" s="299"/>
      <c r="AE204" s="299"/>
      <c r="AF204" s="299"/>
      <c r="AG204" s="299"/>
      <c r="AH204" s="298"/>
    </row>
    <row r="205" spans="30:34" x14ac:dyDescent="0.25">
      <c r="AD205" s="299"/>
      <c r="AE205" s="299"/>
      <c r="AF205" s="299"/>
      <c r="AG205" s="299"/>
      <c r="AH205" s="298"/>
    </row>
    <row r="206" spans="30:34" x14ac:dyDescent="0.25">
      <c r="AD206" s="299"/>
      <c r="AE206" s="299"/>
      <c r="AF206" s="299"/>
      <c r="AG206" s="299"/>
      <c r="AH206" s="298"/>
    </row>
    <row r="207" spans="30:34" x14ac:dyDescent="0.25">
      <c r="AD207" s="299"/>
      <c r="AE207" s="299"/>
      <c r="AF207" s="299"/>
      <c r="AG207" s="299"/>
      <c r="AH207" s="298"/>
    </row>
    <row r="208" spans="30:34" x14ac:dyDescent="0.25">
      <c r="AD208" s="299"/>
      <c r="AE208" s="299"/>
      <c r="AF208" s="299"/>
      <c r="AG208" s="299"/>
      <c r="AH208" s="298"/>
    </row>
    <row r="209" spans="30:34" x14ac:dyDescent="0.25">
      <c r="AD209" s="299"/>
      <c r="AE209" s="299"/>
      <c r="AF209" s="299"/>
      <c r="AG209" s="299"/>
      <c r="AH209" s="298"/>
    </row>
    <row r="210" spans="30:34" x14ac:dyDescent="0.25">
      <c r="AD210" s="299"/>
      <c r="AE210" s="299"/>
      <c r="AF210" s="299"/>
      <c r="AG210" s="299"/>
      <c r="AH210" s="298"/>
    </row>
    <row r="211" spans="30:34" x14ac:dyDescent="0.25">
      <c r="AD211" s="299"/>
      <c r="AE211" s="299"/>
      <c r="AF211" s="299"/>
      <c r="AG211" s="299"/>
      <c r="AH211" s="298"/>
    </row>
    <row r="212" spans="30:34" x14ac:dyDescent="0.25">
      <c r="AD212" s="299"/>
      <c r="AE212" s="299"/>
      <c r="AF212" s="299"/>
      <c r="AG212" s="299"/>
      <c r="AH212" s="298"/>
    </row>
    <row r="213" spans="30:34" x14ac:dyDescent="0.25">
      <c r="AD213" s="299"/>
      <c r="AE213" s="299"/>
      <c r="AF213" s="299"/>
      <c r="AG213" s="299"/>
      <c r="AH213" s="298"/>
    </row>
    <row r="214" spans="30:34" x14ac:dyDescent="0.25">
      <c r="AD214" s="299"/>
      <c r="AE214" s="299"/>
      <c r="AF214" s="299"/>
      <c r="AG214" s="299"/>
      <c r="AH214" s="298"/>
    </row>
    <row r="215" spans="30:34" x14ac:dyDescent="0.25">
      <c r="AD215" s="299"/>
      <c r="AE215" s="299"/>
      <c r="AF215" s="299"/>
      <c r="AG215" s="299"/>
      <c r="AH215" s="298"/>
    </row>
    <row r="216" spans="30:34" x14ac:dyDescent="0.25">
      <c r="AD216" s="299"/>
      <c r="AE216" s="299"/>
      <c r="AF216" s="299"/>
      <c r="AG216" s="299"/>
      <c r="AH216" s="298"/>
    </row>
    <row r="217" spans="30:34" ht="13.8" customHeight="1" x14ac:dyDescent="0.25">
      <c r="AD217" s="299"/>
      <c r="AE217" s="299"/>
      <c r="AF217" s="299"/>
      <c r="AG217" s="299"/>
      <c r="AH217" s="298"/>
    </row>
    <row r="218" spans="30:34" x14ac:dyDescent="0.25">
      <c r="AD218" s="299"/>
      <c r="AE218" s="299"/>
      <c r="AF218" s="299"/>
      <c r="AG218" s="299"/>
      <c r="AH218" s="298"/>
    </row>
    <row r="219" spans="30:34" x14ac:dyDescent="0.25">
      <c r="AD219" s="299"/>
      <c r="AE219" s="299"/>
      <c r="AF219" s="299"/>
      <c r="AG219" s="299"/>
      <c r="AH219" s="298"/>
    </row>
    <row r="220" spans="30:34" x14ac:dyDescent="0.25">
      <c r="AD220" s="299"/>
      <c r="AE220" s="299"/>
      <c r="AF220" s="299"/>
      <c r="AG220" s="299"/>
      <c r="AH220" s="298"/>
    </row>
    <row r="221" spans="30:34" x14ac:dyDescent="0.25">
      <c r="AD221" s="299"/>
      <c r="AE221" s="299"/>
      <c r="AF221" s="299"/>
      <c r="AG221" s="299"/>
      <c r="AH221" s="298"/>
    </row>
    <row r="222" spans="30:34" x14ac:dyDescent="0.25">
      <c r="AD222" s="299"/>
      <c r="AE222" s="299"/>
      <c r="AF222" s="299"/>
      <c r="AG222" s="299"/>
      <c r="AH222" s="298"/>
    </row>
    <row r="223" spans="30:34" x14ac:dyDescent="0.25">
      <c r="AD223" s="299"/>
      <c r="AE223" s="299"/>
      <c r="AF223" s="299"/>
      <c r="AG223" s="299"/>
      <c r="AH223" s="298"/>
    </row>
    <row r="224" spans="30:34" x14ac:dyDescent="0.25">
      <c r="AD224" s="299"/>
      <c r="AE224" s="299"/>
      <c r="AF224" s="299"/>
      <c r="AG224" s="299"/>
      <c r="AH224" s="298"/>
    </row>
    <row r="225" spans="30:34" x14ac:dyDescent="0.25">
      <c r="AD225" s="299"/>
      <c r="AE225" s="299"/>
      <c r="AF225" s="299"/>
      <c r="AG225" s="299"/>
      <c r="AH225" s="298"/>
    </row>
    <row r="226" spans="30:34" x14ac:dyDescent="0.25">
      <c r="AD226" s="299"/>
      <c r="AE226" s="299"/>
      <c r="AF226" s="299"/>
      <c r="AG226" s="299"/>
      <c r="AH226" s="298"/>
    </row>
    <row r="227" spans="30:34" x14ac:dyDescent="0.25">
      <c r="AD227" s="299"/>
      <c r="AE227" s="299"/>
      <c r="AF227" s="299"/>
      <c r="AG227" s="299"/>
      <c r="AH227" s="298"/>
    </row>
    <row r="228" spans="30:34" x14ac:dyDescent="0.25">
      <c r="AD228" s="299"/>
      <c r="AE228" s="299"/>
      <c r="AF228" s="299"/>
      <c r="AG228" s="299"/>
      <c r="AH228" s="298"/>
    </row>
    <row r="229" spans="30:34" x14ac:dyDescent="0.25">
      <c r="AD229" s="299"/>
      <c r="AE229" s="299"/>
      <c r="AF229" s="299"/>
      <c r="AG229" s="299"/>
      <c r="AH229" s="298"/>
    </row>
    <row r="230" spans="30:34" ht="13.8" customHeight="1" x14ac:dyDescent="0.25">
      <c r="AD230" s="299"/>
      <c r="AE230" s="299"/>
      <c r="AF230" s="299"/>
      <c r="AG230" s="299"/>
      <c r="AH230" s="298"/>
    </row>
    <row r="231" spans="30:34" x14ac:dyDescent="0.25">
      <c r="AD231" s="299"/>
      <c r="AE231" s="299"/>
      <c r="AF231" s="299"/>
      <c r="AG231" s="299"/>
      <c r="AH231" s="298"/>
    </row>
    <row r="232" spans="30:34" x14ac:dyDescent="0.25">
      <c r="AD232" s="299"/>
      <c r="AE232" s="299"/>
      <c r="AF232" s="299"/>
      <c r="AG232" s="299"/>
      <c r="AH232" s="298"/>
    </row>
    <row r="233" spans="30:34" x14ac:dyDescent="0.25">
      <c r="AD233" s="299"/>
      <c r="AE233" s="299"/>
      <c r="AF233" s="299"/>
      <c r="AG233" s="299"/>
      <c r="AH233" s="298"/>
    </row>
    <row r="234" spans="30:34" x14ac:dyDescent="0.25">
      <c r="AD234" s="299"/>
      <c r="AE234" s="299"/>
      <c r="AF234" s="299"/>
      <c r="AG234" s="299"/>
      <c r="AH234" s="298"/>
    </row>
    <row r="235" spans="30:34" x14ac:dyDescent="0.25">
      <c r="AD235" s="299"/>
      <c r="AE235" s="299"/>
      <c r="AF235" s="299"/>
      <c r="AG235" s="299"/>
      <c r="AH235" s="298"/>
    </row>
    <row r="236" spans="30:34" x14ac:dyDescent="0.25">
      <c r="AD236" s="299"/>
      <c r="AE236" s="299"/>
      <c r="AF236" s="299"/>
      <c r="AG236" s="299"/>
      <c r="AH236" s="298"/>
    </row>
    <row r="237" spans="30:34" x14ac:dyDescent="0.25">
      <c r="AD237" s="299"/>
      <c r="AE237" s="299"/>
      <c r="AF237" s="299"/>
      <c r="AG237" s="299"/>
      <c r="AH237" s="298"/>
    </row>
    <row r="238" spans="30:34" x14ac:dyDescent="0.25">
      <c r="AD238" s="299"/>
      <c r="AE238" s="299"/>
      <c r="AF238" s="299"/>
      <c r="AG238" s="299"/>
      <c r="AH238" s="298"/>
    </row>
    <row r="239" spans="30:34" x14ac:dyDescent="0.25">
      <c r="AD239" s="299"/>
      <c r="AE239" s="299"/>
      <c r="AF239" s="299"/>
      <c r="AG239" s="299"/>
      <c r="AH239" s="298"/>
    </row>
    <row r="240" spans="30:34" x14ac:dyDescent="0.25">
      <c r="AD240" s="299"/>
      <c r="AE240" s="299"/>
      <c r="AF240" s="299"/>
      <c r="AG240" s="299"/>
      <c r="AH240" s="298"/>
    </row>
    <row r="241" spans="30:34" x14ac:dyDescent="0.25">
      <c r="AD241" s="299"/>
      <c r="AE241" s="299"/>
      <c r="AF241" s="299"/>
      <c r="AG241" s="299"/>
      <c r="AH241" s="298"/>
    </row>
    <row r="242" spans="30:34" x14ac:dyDescent="0.25">
      <c r="AD242" s="299"/>
      <c r="AE242" s="299"/>
      <c r="AF242" s="299"/>
      <c r="AG242" s="299"/>
      <c r="AH242" s="298"/>
    </row>
    <row r="243" spans="30:34" ht="13.8" customHeight="1" x14ac:dyDescent="0.25">
      <c r="AD243" s="299"/>
      <c r="AE243" s="299"/>
      <c r="AF243" s="299"/>
      <c r="AG243" s="299"/>
      <c r="AH243" s="298"/>
    </row>
    <row r="244" spans="30:34" x14ac:dyDescent="0.25">
      <c r="AD244" s="299"/>
      <c r="AE244" s="299"/>
      <c r="AF244" s="299"/>
      <c r="AG244" s="299"/>
      <c r="AH244" s="298"/>
    </row>
    <row r="245" spans="30:34" x14ac:dyDescent="0.25">
      <c r="AD245" s="299"/>
      <c r="AE245" s="299"/>
      <c r="AF245" s="299"/>
      <c r="AG245" s="299"/>
      <c r="AH245" s="298"/>
    </row>
    <row r="246" spans="30:34" x14ac:dyDescent="0.25">
      <c r="AD246" s="299"/>
      <c r="AE246" s="299"/>
      <c r="AF246" s="299"/>
      <c r="AG246" s="299"/>
      <c r="AH246" s="298"/>
    </row>
    <row r="247" spans="30:34" x14ac:dyDescent="0.25">
      <c r="AD247" s="299"/>
      <c r="AE247" s="299"/>
      <c r="AF247" s="299"/>
      <c r="AG247" s="299"/>
      <c r="AH247" s="298"/>
    </row>
    <row r="248" spans="30:34" x14ac:dyDescent="0.25">
      <c r="AD248" s="299"/>
      <c r="AE248" s="299"/>
      <c r="AF248" s="299"/>
      <c r="AG248" s="299"/>
      <c r="AH248" s="298"/>
    </row>
    <row r="249" spans="30:34" x14ac:dyDescent="0.25">
      <c r="AD249" s="299"/>
      <c r="AE249" s="299"/>
      <c r="AF249" s="299"/>
      <c r="AG249" s="299"/>
      <c r="AH249" s="298"/>
    </row>
    <row r="250" spans="30:34" x14ac:dyDescent="0.25">
      <c r="AD250" s="299"/>
      <c r="AE250" s="299"/>
      <c r="AF250" s="299"/>
      <c r="AG250" s="299"/>
      <c r="AH250" s="298"/>
    </row>
    <row r="251" spans="30:34" x14ac:dyDescent="0.25">
      <c r="AD251" s="299"/>
      <c r="AE251" s="299"/>
      <c r="AF251" s="299"/>
      <c r="AG251" s="299"/>
      <c r="AH251" s="298"/>
    </row>
    <row r="252" spans="30:34" x14ac:dyDescent="0.25">
      <c r="AD252" s="299"/>
      <c r="AE252" s="299"/>
      <c r="AF252" s="299"/>
      <c r="AG252" s="299"/>
      <c r="AH252" s="298"/>
    </row>
    <row r="253" spans="30:34" x14ac:dyDescent="0.25">
      <c r="AD253" s="299"/>
      <c r="AE253" s="299"/>
      <c r="AF253" s="299"/>
      <c r="AG253" s="299"/>
      <c r="AH253" s="298"/>
    </row>
    <row r="254" spans="30:34" x14ac:dyDescent="0.25">
      <c r="AD254" s="299"/>
      <c r="AE254" s="299"/>
      <c r="AF254" s="299"/>
      <c r="AG254" s="299"/>
      <c r="AH254" s="298"/>
    </row>
    <row r="255" spans="30:34" x14ac:dyDescent="0.25">
      <c r="AD255" s="299"/>
      <c r="AE255" s="299"/>
      <c r="AF255" s="299"/>
      <c r="AG255" s="299"/>
      <c r="AH255" s="298"/>
    </row>
    <row r="256" spans="30:34" ht="13.8" customHeight="1" x14ac:dyDescent="0.25">
      <c r="AD256" s="299"/>
      <c r="AE256" s="299"/>
      <c r="AF256" s="299"/>
      <c r="AG256" s="299"/>
      <c r="AH256" s="298"/>
    </row>
    <row r="257" spans="30:34" x14ac:dyDescent="0.25">
      <c r="AD257" s="299"/>
      <c r="AE257" s="299"/>
      <c r="AF257" s="299"/>
      <c r="AG257" s="299"/>
      <c r="AH257" s="298"/>
    </row>
    <row r="258" spans="30:34" x14ac:dyDescent="0.25">
      <c r="AD258" s="299"/>
      <c r="AE258" s="299"/>
      <c r="AF258" s="299"/>
      <c r="AG258" s="299"/>
      <c r="AH258" s="298"/>
    </row>
  </sheetData>
  <dataValidations xWindow="986" yWindow="728" count="2">
    <dataValidation allowBlank="1" showErrorMessage="1" promptTitle="Entrer Taux CORRA" prompt="Taux CORRA composé pour la période" sqref="E7:E125" xr:uid="{3192F542-1699-4675-84AD-63F7991DEB15}"/>
    <dataValidation allowBlank="1" showErrorMessage="1" sqref="F7:F125" xr:uid="{7F598FCD-B2C9-458B-A32C-4D8ADE0AC4EB}"/>
  </dataValidations>
  <pageMargins left="0.25" right="0.25" top="0.75" bottom="0.75" header="0.3" footer="0.3"/>
  <pageSetup scale="37" orientation="portrait" r:id="rId1"/>
  <headerFooter>
    <oddFooter>&amp;L&amp;1#&amp;"Calibri"&amp;10&amp;K000000Internal</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1A778-E5C7-4D43-ADD5-0223D7D6E1BE}">
  <sheetPr>
    <pageSetUpPr fitToPage="1"/>
  </sheetPr>
  <dimension ref="A1:X255"/>
  <sheetViews>
    <sheetView showGridLines="0" zoomScale="115" zoomScaleNormal="115" workbookViewId="0">
      <pane ySplit="5" topLeftCell="A6" activePane="bottomLeft" state="frozen"/>
      <selection pane="bottomLeft" activeCell="F3" sqref="F3"/>
    </sheetView>
  </sheetViews>
  <sheetFormatPr baseColWidth="10" defaultColWidth="9.109375" defaultRowHeight="13.2" x14ac:dyDescent="0.25"/>
  <cols>
    <col min="1" max="1" width="3.109375" style="37" customWidth="1"/>
    <col min="2" max="2" width="13.21875" style="37" bestFit="1" customWidth="1"/>
    <col min="3" max="3" width="16.6640625" style="39" customWidth="1"/>
    <col min="4" max="4" width="11.109375" style="39" customWidth="1"/>
    <col min="5" max="5" width="1.6640625" style="39" customWidth="1"/>
    <col min="6" max="6" width="19.33203125" style="39" customWidth="1"/>
    <col min="7" max="7" width="1.6640625" style="39" customWidth="1"/>
    <col min="8" max="8" width="14" style="39" bestFit="1" customWidth="1"/>
    <col min="9" max="9" width="14.21875" style="39" customWidth="1"/>
    <col min="10" max="10" width="18.33203125" style="39" customWidth="1"/>
    <col min="11" max="11" width="14.88671875" style="39" customWidth="1"/>
    <col min="12" max="12" width="1.6640625" style="39" customWidth="1"/>
    <col min="13" max="13" width="16.109375" style="39" bestFit="1" customWidth="1"/>
    <col min="14" max="14" width="15" style="39" bestFit="1" customWidth="1"/>
    <col min="15" max="16" width="16.109375" style="39" bestFit="1" customWidth="1"/>
    <col min="17" max="17" width="1.6640625" style="39" customWidth="1"/>
    <col min="18" max="18" width="20" style="83" customWidth="1"/>
    <col min="19" max="19" width="1.6640625" style="39" customWidth="1"/>
    <col min="20" max="20" width="9.109375" style="39"/>
    <col min="21" max="21" width="13.44140625" style="39" bestFit="1" customWidth="1"/>
    <col min="22" max="22" width="12.44140625" style="39" bestFit="1" customWidth="1"/>
    <col min="23" max="23" width="15.109375" style="39" customWidth="1"/>
    <col min="24" max="16384" width="9.109375" style="39"/>
  </cols>
  <sheetData>
    <row r="1" spans="1:22" x14ac:dyDescent="0.25">
      <c r="C1" s="59"/>
      <c r="D1" s="44"/>
      <c r="F1" s="181"/>
      <c r="G1" s="182"/>
      <c r="H1" s="182"/>
      <c r="I1" s="182"/>
      <c r="J1" s="182"/>
      <c r="K1" s="182"/>
      <c r="L1" s="182"/>
      <c r="M1" s="182"/>
      <c r="N1" s="184"/>
      <c r="O1" s="185"/>
      <c r="P1" s="185"/>
      <c r="Q1" s="163"/>
      <c r="R1" s="193"/>
      <c r="S1" s="163"/>
    </row>
    <row r="2" spans="1:22" x14ac:dyDescent="0.25">
      <c r="C2" s="59"/>
      <c r="D2" s="44"/>
      <c r="F2" s="63"/>
      <c r="N2" s="71"/>
      <c r="O2" s="70"/>
      <c r="P2" s="70"/>
      <c r="R2" s="194"/>
    </row>
    <row r="3" spans="1:22" s="36" customFormat="1" ht="45" customHeight="1" x14ac:dyDescent="0.25">
      <c r="A3" s="37"/>
      <c r="B3" s="37"/>
      <c r="C3" s="183"/>
      <c r="D3" s="182"/>
      <c r="F3" s="183"/>
      <c r="H3" s="153" t="s">
        <v>101</v>
      </c>
      <c r="I3" s="187"/>
      <c r="J3" s="153"/>
      <c r="K3" s="172"/>
      <c r="M3" s="186" t="s">
        <v>102</v>
      </c>
      <c r="N3" s="187"/>
      <c r="O3" s="154"/>
      <c r="P3" s="171"/>
      <c r="Q3" s="78"/>
      <c r="R3" s="188" t="s">
        <v>115</v>
      </c>
    </row>
    <row r="4" spans="1:22" ht="7.2" customHeight="1" x14ac:dyDescent="0.25">
      <c r="A4" s="36"/>
      <c r="B4" s="36"/>
      <c r="D4" s="204">
        <v>300</v>
      </c>
      <c r="F4" s="52"/>
      <c r="G4" s="52"/>
      <c r="H4" s="52"/>
      <c r="L4" s="52"/>
      <c r="M4" s="52"/>
      <c r="N4" s="52"/>
      <c r="Q4" s="52"/>
      <c r="S4" s="52"/>
    </row>
    <row r="5" spans="1:22" s="83" customFormat="1" ht="30" customHeight="1" x14ac:dyDescent="0.25">
      <c r="A5" s="80"/>
      <c r="B5" s="306" t="s">
        <v>0</v>
      </c>
      <c r="C5" s="81" t="s">
        <v>1</v>
      </c>
      <c r="D5" s="81" t="s">
        <v>46</v>
      </c>
      <c r="F5" s="82" t="s">
        <v>246</v>
      </c>
      <c r="G5" s="84"/>
      <c r="H5" s="82" t="s">
        <v>49</v>
      </c>
      <c r="I5" s="82" t="s">
        <v>96</v>
      </c>
      <c r="J5" s="82" t="s">
        <v>51</v>
      </c>
      <c r="K5" s="82" t="s">
        <v>59</v>
      </c>
      <c r="L5" s="84"/>
      <c r="M5" s="82" t="s">
        <v>49</v>
      </c>
      <c r="N5" s="82" t="s">
        <v>96</v>
      </c>
      <c r="O5" s="82" t="s">
        <v>51</v>
      </c>
      <c r="P5" s="82" t="s">
        <v>59</v>
      </c>
      <c r="Q5" s="84"/>
      <c r="R5" s="82" t="s">
        <v>55</v>
      </c>
      <c r="S5" s="84"/>
    </row>
    <row r="6" spans="1:22" x14ac:dyDescent="0.25">
      <c r="A6" s="58"/>
      <c r="B6" s="307">
        <v>45615</v>
      </c>
      <c r="C6" s="205">
        <v>45617</v>
      </c>
      <c r="D6" s="97">
        <f>C6-B6+1</f>
        <v>3</v>
      </c>
      <c r="F6" s="190">
        <v>6.7000000000000004E-2</v>
      </c>
      <c r="G6" s="101"/>
      <c r="H6" s="270">
        <v>11400000</v>
      </c>
      <c r="I6" s="199">
        <v>0</v>
      </c>
      <c r="J6" s="198">
        <f>(H6*(F6)*D6/365)</f>
        <v>6277.8082191780823</v>
      </c>
      <c r="K6" s="229">
        <f t="shared" ref="K6:K8" si="0">J6+I6</f>
        <v>6277.8082191780823</v>
      </c>
      <c r="L6" s="101"/>
      <c r="M6" s="195">
        <v>3000000</v>
      </c>
      <c r="N6" s="195">
        <v>0</v>
      </c>
      <c r="O6" s="197">
        <f>(M6*(F6)*D6/365)</f>
        <v>1652.0547945205481</v>
      </c>
      <c r="P6" s="230">
        <f t="shared" ref="P6:P8" si="1">N6+O6</f>
        <v>1652.0547945205481</v>
      </c>
      <c r="Q6" s="101"/>
      <c r="R6" s="192">
        <f>K6+P6</f>
        <v>7929.8630136986303</v>
      </c>
      <c r="S6" s="102"/>
    </row>
    <row r="7" spans="1:22" x14ac:dyDescent="0.25">
      <c r="A7" s="163"/>
      <c r="B7" s="311">
        <v>45618</v>
      </c>
      <c r="C7" s="205">
        <v>45621</v>
      </c>
      <c r="D7" s="97">
        <f>C7-C6</f>
        <v>4</v>
      </c>
      <c r="F7" s="190">
        <f>3.79029525%+2.29547%</f>
        <v>6.0857652499999998E-2</v>
      </c>
      <c r="G7" s="101"/>
      <c r="H7" s="270">
        <v>11400000</v>
      </c>
      <c r="I7" s="199">
        <v>0</v>
      </c>
      <c r="J7" s="198">
        <f>(H7*(F7)*D7/365)</f>
        <v>7603.0382301369864</v>
      </c>
      <c r="K7" s="229">
        <f t="shared" si="0"/>
        <v>7603.0382301369864</v>
      </c>
      <c r="L7" s="101"/>
      <c r="M7" s="195">
        <f>M6-N7</f>
        <v>3000000</v>
      </c>
      <c r="N7" s="195">
        <v>0</v>
      </c>
      <c r="O7" s="197">
        <f>(M7*(F7)*D7/365)</f>
        <v>2000.7995342465751</v>
      </c>
      <c r="P7" s="230">
        <f t="shared" si="1"/>
        <v>2000.7995342465751</v>
      </c>
      <c r="Q7" s="101"/>
      <c r="R7" s="192">
        <f t="shared" ref="R7:R71" si="2">K7+P7</f>
        <v>9603.8377643835611</v>
      </c>
      <c r="S7" s="102"/>
      <c r="V7" s="316"/>
    </row>
    <row r="8" spans="1:22" x14ac:dyDescent="0.25">
      <c r="A8" s="163"/>
      <c r="B8" s="311">
        <v>45622</v>
      </c>
      <c r="C8" s="205">
        <v>45652</v>
      </c>
      <c r="D8" s="97">
        <f>C8-C7</f>
        <v>31</v>
      </c>
      <c r="F8" s="190">
        <v>5.9597410000000003E-2</v>
      </c>
      <c r="G8" s="101"/>
      <c r="H8" s="270">
        <v>11400000</v>
      </c>
      <c r="I8" s="199">
        <v>0</v>
      </c>
      <c r="J8" s="198">
        <f>(H8*(F8)*D8/365)</f>
        <v>57703.355326027406</v>
      </c>
      <c r="K8" s="229">
        <f t="shared" si="0"/>
        <v>57703.355326027406</v>
      </c>
      <c r="L8" s="101"/>
      <c r="M8" s="195">
        <f>M7-N8</f>
        <v>3000000</v>
      </c>
      <c r="N8" s="195">
        <v>0</v>
      </c>
      <c r="O8" s="197">
        <f>(M8*(F8)*D8/365)</f>
        <v>15185.093506849315</v>
      </c>
      <c r="P8" s="230">
        <f t="shared" si="1"/>
        <v>15185.093506849315</v>
      </c>
      <c r="Q8" s="101"/>
      <c r="R8" s="192">
        <f t="shared" si="2"/>
        <v>72888.448832876718</v>
      </c>
      <c r="S8" s="102"/>
      <c r="V8" s="316"/>
    </row>
    <row r="9" spans="1:22" x14ac:dyDescent="0.25">
      <c r="A9" s="106"/>
      <c r="B9" s="308"/>
      <c r="C9" s="205">
        <v>45684</v>
      </c>
      <c r="D9" s="97">
        <f>C9-C7</f>
        <v>63</v>
      </c>
      <c r="F9" s="189"/>
      <c r="G9" s="101"/>
      <c r="H9" s="198"/>
      <c r="I9" s="199"/>
      <c r="J9" s="198"/>
      <c r="K9" s="229"/>
      <c r="L9" s="101"/>
      <c r="M9" s="195">
        <f>M8-N9</f>
        <v>0</v>
      </c>
      <c r="N9" s="195">
        <v>3000000</v>
      </c>
      <c r="O9" s="197"/>
      <c r="P9" s="230"/>
      <c r="Q9" s="101"/>
      <c r="R9" s="192">
        <f t="shared" si="2"/>
        <v>0</v>
      </c>
      <c r="S9" s="102"/>
    </row>
    <row r="10" spans="1:22" x14ac:dyDescent="0.25">
      <c r="A10" s="106"/>
      <c r="B10" s="308"/>
      <c r="C10" s="205">
        <v>45714</v>
      </c>
      <c r="D10" s="97">
        <f t="shared" ref="D10:D69" si="3">C10-C9</f>
        <v>30</v>
      </c>
      <c r="F10" s="189"/>
      <c r="G10" s="101"/>
      <c r="H10" s="198"/>
      <c r="I10" s="199"/>
      <c r="J10" s="198"/>
      <c r="K10" s="229"/>
      <c r="L10" s="101"/>
      <c r="M10" s="195">
        <f t="shared" ref="M10:M69" si="4">M9-N10</f>
        <v>0</v>
      </c>
      <c r="N10" s="195">
        <v>0</v>
      </c>
      <c r="O10" s="197"/>
      <c r="P10" s="230"/>
      <c r="Q10" s="101"/>
      <c r="R10" s="192">
        <f t="shared" si="2"/>
        <v>0</v>
      </c>
      <c r="S10" s="102"/>
      <c r="U10" s="316"/>
    </row>
    <row r="11" spans="1:22" x14ac:dyDescent="0.25">
      <c r="A11" s="106"/>
      <c r="B11" s="308"/>
      <c r="C11" s="205">
        <v>45742</v>
      </c>
      <c r="D11" s="97">
        <f t="shared" si="3"/>
        <v>28</v>
      </c>
      <c r="F11" s="189"/>
      <c r="G11" s="101"/>
      <c r="H11" s="198"/>
      <c r="I11" s="199"/>
      <c r="J11" s="198"/>
      <c r="K11" s="229"/>
      <c r="L11" s="101"/>
      <c r="M11" s="195">
        <f t="shared" si="4"/>
        <v>0</v>
      </c>
      <c r="N11" s="195">
        <v>0</v>
      </c>
      <c r="O11" s="197"/>
      <c r="P11" s="230"/>
      <c r="Q11" s="101"/>
      <c r="R11" s="192">
        <f t="shared" si="2"/>
        <v>0</v>
      </c>
      <c r="S11" s="102"/>
    </row>
    <row r="12" spans="1:22" x14ac:dyDescent="0.25">
      <c r="A12" s="106"/>
      <c r="B12" s="308"/>
      <c r="C12" s="205">
        <v>45775</v>
      </c>
      <c r="D12" s="97">
        <f t="shared" si="3"/>
        <v>33</v>
      </c>
      <c r="F12" s="189"/>
      <c r="G12" s="101"/>
      <c r="H12" s="198"/>
      <c r="I12" s="199"/>
      <c r="J12" s="198"/>
      <c r="K12" s="229"/>
      <c r="L12" s="101"/>
      <c r="M12" s="195">
        <f t="shared" si="4"/>
        <v>0</v>
      </c>
      <c r="N12" s="195">
        <v>0</v>
      </c>
      <c r="O12" s="197"/>
      <c r="P12" s="230"/>
      <c r="Q12" s="101"/>
      <c r="R12" s="192">
        <f t="shared" si="2"/>
        <v>0</v>
      </c>
      <c r="S12" s="102"/>
      <c r="U12" s="316"/>
    </row>
    <row r="13" spans="1:22" x14ac:dyDescent="0.25">
      <c r="A13" s="106"/>
      <c r="B13" s="308"/>
      <c r="C13" s="205">
        <v>45803</v>
      </c>
      <c r="D13" s="97">
        <f t="shared" si="3"/>
        <v>28</v>
      </c>
      <c r="F13" s="189"/>
      <c r="G13" s="101"/>
      <c r="H13" s="198"/>
      <c r="I13" s="199"/>
      <c r="J13" s="198"/>
      <c r="K13" s="229"/>
      <c r="L13" s="101"/>
      <c r="M13" s="195">
        <f t="shared" si="4"/>
        <v>0</v>
      </c>
      <c r="N13" s="195">
        <v>0</v>
      </c>
      <c r="O13" s="197"/>
      <c r="P13" s="230"/>
      <c r="Q13" s="101"/>
      <c r="R13" s="192">
        <f t="shared" si="2"/>
        <v>0</v>
      </c>
      <c r="S13" s="102"/>
      <c r="U13" s="316"/>
    </row>
    <row r="14" spans="1:22" x14ac:dyDescent="0.25">
      <c r="A14" s="106"/>
      <c r="B14" s="308"/>
      <c r="C14" s="205">
        <v>45834</v>
      </c>
      <c r="D14" s="97">
        <f t="shared" si="3"/>
        <v>31</v>
      </c>
      <c r="F14" s="189"/>
      <c r="G14" s="101"/>
      <c r="H14" s="198"/>
      <c r="I14" s="199"/>
      <c r="J14" s="198"/>
      <c r="K14" s="229"/>
      <c r="L14" s="101"/>
      <c r="M14" s="195">
        <f t="shared" si="4"/>
        <v>0</v>
      </c>
      <c r="N14" s="195">
        <v>0</v>
      </c>
      <c r="O14" s="197"/>
      <c r="P14" s="230"/>
      <c r="Q14" s="101"/>
      <c r="R14" s="192">
        <f t="shared" si="2"/>
        <v>0</v>
      </c>
      <c r="S14" s="102"/>
      <c r="U14" s="315"/>
    </row>
    <row r="15" spans="1:22" x14ac:dyDescent="0.25">
      <c r="A15" s="106"/>
      <c r="B15" s="308"/>
      <c r="C15" s="205">
        <v>45866</v>
      </c>
      <c r="D15" s="97">
        <f t="shared" si="3"/>
        <v>32</v>
      </c>
      <c r="F15" s="189"/>
      <c r="G15" s="101"/>
      <c r="H15" s="198"/>
      <c r="I15" s="199"/>
      <c r="J15" s="198"/>
      <c r="K15" s="229"/>
      <c r="L15" s="101"/>
      <c r="M15" s="195">
        <f t="shared" si="4"/>
        <v>0</v>
      </c>
      <c r="N15" s="195">
        <v>0</v>
      </c>
      <c r="O15" s="197"/>
      <c r="P15" s="230"/>
      <c r="Q15" s="101"/>
      <c r="R15" s="192">
        <f t="shared" si="2"/>
        <v>0</v>
      </c>
      <c r="S15" s="102"/>
      <c r="U15" s="315"/>
    </row>
    <row r="16" spans="1:22" x14ac:dyDescent="0.25">
      <c r="A16" s="106"/>
      <c r="B16" s="308"/>
      <c r="C16" s="205">
        <v>45895</v>
      </c>
      <c r="D16" s="97">
        <f t="shared" si="3"/>
        <v>29</v>
      </c>
      <c r="F16" s="189"/>
      <c r="G16" s="101"/>
      <c r="H16" s="198"/>
      <c r="I16" s="199"/>
      <c r="J16" s="198"/>
      <c r="K16" s="229"/>
      <c r="L16" s="101"/>
      <c r="M16" s="195">
        <f t="shared" si="4"/>
        <v>0</v>
      </c>
      <c r="N16" s="195">
        <v>0</v>
      </c>
      <c r="O16" s="197"/>
      <c r="P16" s="230"/>
      <c r="Q16" s="101"/>
      <c r="R16" s="192">
        <f t="shared" si="2"/>
        <v>0</v>
      </c>
      <c r="S16" s="102"/>
      <c r="U16" s="315"/>
    </row>
    <row r="17" spans="1:21" x14ac:dyDescent="0.25">
      <c r="A17" s="106"/>
      <c r="B17" s="308"/>
      <c r="C17" s="205">
        <v>45926</v>
      </c>
      <c r="D17" s="97">
        <f t="shared" si="3"/>
        <v>31</v>
      </c>
      <c r="F17" s="189"/>
      <c r="G17" s="101"/>
      <c r="H17" s="198"/>
      <c r="I17" s="199"/>
      <c r="J17" s="198"/>
      <c r="K17" s="229"/>
      <c r="L17" s="101"/>
      <c r="M17" s="195">
        <f t="shared" si="4"/>
        <v>0</v>
      </c>
      <c r="N17" s="195">
        <v>0</v>
      </c>
      <c r="O17" s="197"/>
      <c r="P17" s="230"/>
      <c r="Q17" s="101"/>
      <c r="R17" s="192">
        <f t="shared" si="2"/>
        <v>0</v>
      </c>
      <c r="S17" s="102"/>
      <c r="U17" s="315"/>
    </row>
    <row r="18" spans="1:21" x14ac:dyDescent="0.25">
      <c r="A18" s="106"/>
      <c r="B18" s="308"/>
      <c r="C18" s="205">
        <v>45957</v>
      </c>
      <c r="D18" s="97">
        <f t="shared" si="3"/>
        <v>31</v>
      </c>
      <c r="F18" s="189"/>
      <c r="G18" s="101"/>
      <c r="H18" s="198"/>
      <c r="I18" s="199"/>
      <c r="J18" s="198"/>
      <c r="K18" s="229"/>
      <c r="L18" s="101"/>
      <c r="M18" s="195">
        <f t="shared" si="4"/>
        <v>0</v>
      </c>
      <c r="N18" s="195">
        <v>0</v>
      </c>
      <c r="O18" s="197"/>
      <c r="P18" s="230"/>
      <c r="Q18" s="101"/>
      <c r="R18" s="192">
        <f t="shared" si="2"/>
        <v>0</v>
      </c>
      <c r="S18" s="102"/>
    </row>
    <row r="19" spans="1:21" x14ac:dyDescent="0.25">
      <c r="A19" s="106"/>
      <c r="B19" s="308"/>
      <c r="C19" s="205">
        <v>45987</v>
      </c>
      <c r="D19" s="97">
        <f t="shared" si="3"/>
        <v>30</v>
      </c>
      <c r="F19" s="189"/>
      <c r="G19" s="101"/>
      <c r="H19" s="198"/>
      <c r="I19" s="199"/>
      <c r="J19" s="198"/>
      <c r="K19" s="229"/>
      <c r="L19" s="101"/>
      <c r="M19" s="195">
        <f t="shared" si="4"/>
        <v>0</v>
      </c>
      <c r="N19" s="195">
        <v>0</v>
      </c>
      <c r="O19" s="197"/>
      <c r="P19" s="230"/>
      <c r="Q19" s="101"/>
      <c r="R19" s="192">
        <f t="shared" si="2"/>
        <v>0</v>
      </c>
      <c r="S19" s="102"/>
    </row>
    <row r="20" spans="1:21" x14ac:dyDescent="0.25">
      <c r="A20" s="106"/>
      <c r="B20" s="308"/>
      <c r="C20" s="205">
        <v>46020</v>
      </c>
      <c r="D20" s="97">
        <f t="shared" si="3"/>
        <v>33</v>
      </c>
      <c r="F20" s="189"/>
      <c r="G20" s="101"/>
      <c r="H20" s="198"/>
      <c r="I20" s="199"/>
      <c r="J20" s="198"/>
      <c r="K20" s="229"/>
      <c r="L20" s="101"/>
      <c r="M20" s="195">
        <f t="shared" si="4"/>
        <v>0</v>
      </c>
      <c r="N20" s="195">
        <v>0</v>
      </c>
      <c r="O20" s="197"/>
      <c r="P20" s="230"/>
      <c r="Q20" s="101"/>
      <c r="R20" s="192">
        <f t="shared" si="2"/>
        <v>0</v>
      </c>
      <c r="S20" s="102"/>
    </row>
    <row r="21" spans="1:21" x14ac:dyDescent="0.25">
      <c r="A21" s="106"/>
      <c r="B21" s="308"/>
      <c r="C21" s="205">
        <v>46048</v>
      </c>
      <c r="D21" s="97">
        <f t="shared" si="3"/>
        <v>28</v>
      </c>
      <c r="F21" s="189"/>
      <c r="G21" s="101"/>
      <c r="H21" s="198"/>
      <c r="I21" s="199"/>
      <c r="J21" s="198"/>
      <c r="K21" s="229"/>
      <c r="L21" s="101"/>
      <c r="M21" s="195">
        <f t="shared" si="4"/>
        <v>0</v>
      </c>
      <c r="N21" s="195">
        <v>0</v>
      </c>
      <c r="O21" s="197"/>
      <c r="P21" s="230"/>
      <c r="Q21" s="101"/>
      <c r="R21" s="192">
        <f t="shared" si="2"/>
        <v>0</v>
      </c>
      <c r="S21" s="102"/>
    </row>
    <row r="22" spans="1:21" x14ac:dyDescent="0.25">
      <c r="A22" s="106"/>
      <c r="B22" s="308"/>
      <c r="C22" s="205">
        <v>46079</v>
      </c>
      <c r="D22" s="97">
        <f t="shared" si="3"/>
        <v>31</v>
      </c>
      <c r="F22" s="189"/>
      <c r="G22" s="101"/>
      <c r="H22" s="198"/>
      <c r="I22" s="199"/>
      <c r="J22" s="198"/>
      <c r="K22" s="229"/>
      <c r="L22" s="101"/>
      <c r="M22" s="195">
        <f t="shared" si="4"/>
        <v>0</v>
      </c>
      <c r="N22" s="195">
        <v>0</v>
      </c>
      <c r="O22" s="197"/>
      <c r="P22" s="230"/>
      <c r="Q22" s="101"/>
      <c r="R22" s="192">
        <f t="shared" si="2"/>
        <v>0</v>
      </c>
      <c r="S22" s="102"/>
    </row>
    <row r="23" spans="1:21" x14ac:dyDescent="0.25">
      <c r="A23" s="106"/>
      <c r="B23" s="308"/>
      <c r="C23" s="205">
        <v>46107</v>
      </c>
      <c r="D23" s="97">
        <f t="shared" si="3"/>
        <v>28</v>
      </c>
      <c r="F23" s="189"/>
      <c r="G23" s="101"/>
      <c r="H23" s="198"/>
      <c r="I23" s="199"/>
      <c r="J23" s="198"/>
      <c r="K23" s="229"/>
      <c r="L23" s="101"/>
      <c r="M23" s="195">
        <f t="shared" si="4"/>
        <v>0</v>
      </c>
      <c r="N23" s="195">
        <v>0</v>
      </c>
      <c r="O23" s="197"/>
      <c r="P23" s="230"/>
      <c r="Q23" s="101"/>
      <c r="R23" s="192">
        <f t="shared" si="2"/>
        <v>0</v>
      </c>
      <c r="S23" s="102"/>
    </row>
    <row r="24" spans="1:21" x14ac:dyDescent="0.25">
      <c r="A24" s="106"/>
      <c r="B24" s="308"/>
      <c r="C24" s="205">
        <v>46139</v>
      </c>
      <c r="D24" s="97">
        <f t="shared" si="3"/>
        <v>32</v>
      </c>
      <c r="F24" s="189"/>
      <c r="G24" s="101"/>
      <c r="H24" s="198"/>
      <c r="I24" s="199"/>
      <c r="J24" s="198"/>
      <c r="K24" s="229"/>
      <c r="L24" s="101"/>
      <c r="M24" s="195">
        <f t="shared" si="4"/>
        <v>0</v>
      </c>
      <c r="N24" s="195">
        <v>0</v>
      </c>
      <c r="O24" s="197"/>
      <c r="P24" s="230"/>
      <c r="Q24" s="101"/>
      <c r="R24" s="192">
        <f t="shared" si="2"/>
        <v>0</v>
      </c>
      <c r="S24" s="102"/>
    </row>
    <row r="25" spans="1:21" x14ac:dyDescent="0.25">
      <c r="A25" s="106"/>
      <c r="B25" s="308"/>
      <c r="C25" s="205">
        <v>46168</v>
      </c>
      <c r="D25" s="97">
        <f t="shared" si="3"/>
        <v>29</v>
      </c>
      <c r="F25" s="189"/>
      <c r="G25" s="101"/>
      <c r="H25" s="198"/>
      <c r="I25" s="199"/>
      <c r="J25" s="198"/>
      <c r="K25" s="229"/>
      <c r="L25" s="101"/>
      <c r="M25" s="195">
        <f t="shared" si="4"/>
        <v>0</v>
      </c>
      <c r="N25" s="195">
        <v>0</v>
      </c>
      <c r="O25" s="197"/>
      <c r="P25" s="230"/>
      <c r="Q25" s="101"/>
      <c r="R25" s="192">
        <f t="shared" si="2"/>
        <v>0</v>
      </c>
      <c r="S25" s="102"/>
    </row>
    <row r="26" spans="1:21" x14ac:dyDescent="0.25">
      <c r="A26" s="106"/>
      <c r="B26" s="308"/>
      <c r="C26" s="205">
        <v>46199</v>
      </c>
      <c r="D26" s="97">
        <f t="shared" si="3"/>
        <v>31</v>
      </c>
      <c r="F26" s="189"/>
      <c r="G26" s="101"/>
      <c r="H26" s="198"/>
      <c r="I26" s="199"/>
      <c r="J26" s="198"/>
      <c r="K26" s="229"/>
      <c r="L26" s="101"/>
      <c r="M26" s="195">
        <f t="shared" si="4"/>
        <v>0</v>
      </c>
      <c r="N26" s="195">
        <v>0</v>
      </c>
      <c r="O26" s="197"/>
      <c r="P26" s="230"/>
      <c r="Q26" s="101"/>
      <c r="R26" s="192">
        <f t="shared" si="2"/>
        <v>0</v>
      </c>
      <c r="S26" s="102"/>
    </row>
    <row r="27" spans="1:21" x14ac:dyDescent="0.25">
      <c r="A27" s="106"/>
      <c r="B27" s="308"/>
      <c r="C27" s="205">
        <v>46230</v>
      </c>
      <c r="D27" s="97">
        <f t="shared" si="3"/>
        <v>31</v>
      </c>
      <c r="F27" s="189"/>
      <c r="G27" s="101"/>
      <c r="H27" s="198"/>
      <c r="I27" s="199"/>
      <c r="J27" s="198"/>
      <c r="K27" s="229"/>
      <c r="L27" s="101"/>
      <c r="M27" s="195">
        <f t="shared" si="4"/>
        <v>0</v>
      </c>
      <c r="N27" s="195">
        <v>0</v>
      </c>
      <c r="O27" s="197"/>
      <c r="P27" s="230"/>
      <c r="Q27" s="101"/>
      <c r="R27" s="192">
        <f t="shared" si="2"/>
        <v>0</v>
      </c>
      <c r="S27" s="102"/>
    </row>
    <row r="28" spans="1:21" x14ac:dyDescent="0.25">
      <c r="A28" s="106"/>
      <c r="B28" s="308"/>
      <c r="C28" s="205">
        <v>46260</v>
      </c>
      <c r="D28" s="97">
        <f t="shared" si="3"/>
        <v>30</v>
      </c>
      <c r="F28" s="189"/>
      <c r="G28" s="101"/>
      <c r="H28" s="198"/>
      <c r="I28" s="199"/>
      <c r="J28" s="198"/>
      <c r="K28" s="229"/>
      <c r="L28" s="101"/>
      <c r="M28" s="195">
        <f t="shared" si="4"/>
        <v>0</v>
      </c>
      <c r="N28" s="195">
        <v>0</v>
      </c>
      <c r="O28" s="197"/>
      <c r="P28" s="230"/>
      <c r="Q28" s="101"/>
      <c r="R28" s="192">
        <f t="shared" si="2"/>
        <v>0</v>
      </c>
      <c r="S28" s="102"/>
    </row>
    <row r="29" spans="1:21" x14ac:dyDescent="0.25">
      <c r="A29" s="106"/>
      <c r="B29" s="308"/>
      <c r="C29" s="205">
        <v>46293</v>
      </c>
      <c r="D29" s="97">
        <f t="shared" si="3"/>
        <v>33</v>
      </c>
      <c r="F29" s="189"/>
      <c r="G29" s="101"/>
      <c r="H29" s="198"/>
      <c r="I29" s="199"/>
      <c r="J29" s="198"/>
      <c r="K29" s="229"/>
      <c r="L29" s="101"/>
      <c r="M29" s="195">
        <f t="shared" si="4"/>
        <v>0</v>
      </c>
      <c r="N29" s="195">
        <v>0</v>
      </c>
      <c r="O29" s="197"/>
      <c r="P29" s="230"/>
      <c r="Q29" s="101"/>
      <c r="R29" s="192">
        <f t="shared" si="2"/>
        <v>0</v>
      </c>
      <c r="S29" s="102"/>
    </row>
    <row r="30" spans="1:21" x14ac:dyDescent="0.25">
      <c r="A30" s="106"/>
      <c r="B30" s="308"/>
      <c r="C30" s="205">
        <v>46321</v>
      </c>
      <c r="D30" s="97">
        <f t="shared" si="3"/>
        <v>28</v>
      </c>
      <c r="F30" s="189"/>
      <c r="G30" s="101"/>
      <c r="H30" s="198"/>
      <c r="I30" s="199"/>
      <c r="J30" s="198"/>
      <c r="K30" s="229"/>
      <c r="L30" s="101"/>
      <c r="M30" s="195">
        <f t="shared" si="4"/>
        <v>0</v>
      </c>
      <c r="N30" s="195">
        <v>0</v>
      </c>
      <c r="O30" s="197"/>
      <c r="P30" s="230"/>
      <c r="Q30" s="101"/>
      <c r="R30" s="192">
        <f t="shared" si="2"/>
        <v>0</v>
      </c>
      <c r="S30" s="102"/>
    </row>
    <row r="31" spans="1:21" x14ac:dyDescent="0.25">
      <c r="A31" s="106"/>
      <c r="B31" s="308"/>
      <c r="C31" s="205">
        <v>46352</v>
      </c>
      <c r="D31" s="97">
        <f t="shared" si="3"/>
        <v>31</v>
      </c>
      <c r="F31" s="189"/>
      <c r="G31" s="101"/>
      <c r="H31" s="198"/>
      <c r="I31" s="199"/>
      <c r="J31" s="198"/>
      <c r="K31" s="229"/>
      <c r="L31" s="101"/>
      <c r="M31" s="195">
        <f t="shared" si="4"/>
        <v>0</v>
      </c>
      <c r="N31" s="195">
        <v>0</v>
      </c>
      <c r="O31" s="197"/>
      <c r="P31" s="230"/>
      <c r="Q31" s="101"/>
      <c r="R31" s="192">
        <f t="shared" si="2"/>
        <v>0</v>
      </c>
      <c r="S31" s="102"/>
    </row>
    <row r="32" spans="1:21" x14ac:dyDescent="0.25">
      <c r="A32" s="106"/>
      <c r="B32" s="308"/>
      <c r="C32" s="205">
        <v>46385</v>
      </c>
      <c r="D32" s="97">
        <f t="shared" si="3"/>
        <v>33</v>
      </c>
      <c r="F32" s="189"/>
      <c r="G32" s="101"/>
      <c r="H32" s="198"/>
      <c r="I32" s="199"/>
      <c r="J32" s="198"/>
      <c r="K32" s="229"/>
      <c r="L32" s="101"/>
      <c r="M32" s="195">
        <f t="shared" si="4"/>
        <v>0</v>
      </c>
      <c r="N32" s="195">
        <v>0</v>
      </c>
      <c r="O32" s="197"/>
      <c r="P32" s="230"/>
      <c r="Q32" s="101"/>
      <c r="R32" s="192">
        <f t="shared" si="2"/>
        <v>0</v>
      </c>
      <c r="S32" s="102"/>
    </row>
    <row r="33" spans="1:19" x14ac:dyDescent="0.25">
      <c r="A33" s="106"/>
      <c r="B33" s="308"/>
      <c r="C33" s="205">
        <v>46413</v>
      </c>
      <c r="D33" s="97">
        <f t="shared" si="3"/>
        <v>28</v>
      </c>
      <c r="F33" s="189"/>
      <c r="G33" s="101"/>
      <c r="H33" s="198"/>
      <c r="I33" s="199"/>
      <c r="J33" s="198"/>
      <c r="K33" s="229"/>
      <c r="L33" s="101"/>
      <c r="M33" s="195">
        <f t="shared" si="4"/>
        <v>0</v>
      </c>
      <c r="N33" s="195">
        <v>0</v>
      </c>
      <c r="O33" s="197"/>
      <c r="P33" s="230"/>
      <c r="Q33" s="101"/>
      <c r="R33" s="192">
        <f t="shared" si="2"/>
        <v>0</v>
      </c>
      <c r="S33" s="102"/>
    </row>
    <row r="34" spans="1:19" x14ac:dyDescent="0.25">
      <c r="A34" s="106"/>
      <c r="B34" s="308"/>
      <c r="C34" s="205">
        <v>46444</v>
      </c>
      <c r="D34" s="97">
        <f t="shared" si="3"/>
        <v>31</v>
      </c>
      <c r="F34" s="189"/>
      <c r="G34" s="101"/>
      <c r="H34" s="198"/>
      <c r="I34" s="199"/>
      <c r="J34" s="198"/>
      <c r="K34" s="229"/>
      <c r="L34" s="101"/>
      <c r="M34" s="195">
        <f t="shared" si="4"/>
        <v>0</v>
      </c>
      <c r="N34" s="195">
        <v>0</v>
      </c>
      <c r="O34" s="197"/>
      <c r="P34" s="230"/>
      <c r="Q34" s="101"/>
      <c r="R34" s="192">
        <f t="shared" si="2"/>
        <v>0</v>
      </c>
      <c r="S34" s="102"/>
    </row>
    <row r="35" spans="1:19" x14ac:dyDescent="0.25">
      <c r="A35" s="106"/>
      <c r="B35" s="308"/>
      <c r="C35" s="205">
        <v>46475</v>
      </c>
      <c r="D35" s="97">
        <f t="shared" si="3"/>
        <v>31</v>
      </c>
      <c r="F35" s="189"/>
      <c r="G35" s="101"/>
      <c r="H35" s="198"/>
      <c r="I35" s="199"/>
      <c r="J35" s="198"/>
      <c r="K35" s="229"/>
      <c r="L35" s="101"/>
      <c r="M35" s="195">
        <f t="shared" si="4"/>
        <v>0</v>
      </c>
      <c r="N35" s="195">
        <v>0</v>
      </c>
      <c r="O35" s="197"/>
      <c r="P35" s="230"/>
      <c r="Q35" s="101"/>
      <c r="R35" s="192">
        <f t="shared" si="2"/>
        <v>0</v>
      </c>
    </row>
    <row r="36" spans="1:19" x14ac:dyDescent="0.25">
      <c r="A36" s="106"/>
      <c r="B36" s="308"/>
      <c r="C36" s="205">
        <v>46503</v>
      </c>
      <c r="D36" s="97">
        <f t="shared" si="3"/>
        <v>28</v>
      </c>
      <c r="F36" s="189"/>
      <c r="G36" s="101"/>
      <c r="H36" s="198"/>
      <c r="I36" s="199"/>
      <c r="J36" s="198"/>
      <c r="K36" s="229"/>
      <c r="L36" s="101"/>
      <c r="M36" s="195">
        <f t="shared" si="4"/>
        <v>0</v>
      </c>
      <c r="N36" s="195">
        <v>0</v>
      </c>
      <c r="O36" s="197"/>
      <c r="P36" s="230"/>
      <c r="Q36" s="101"/>
      <c r="R36" s="192">
        <f t="shared" si="2"/>
        <v>0</v>
      </c>
    </row>
    <row r="37" spans="1:19" x14ac:dyDescent="0.25">
      <c r="A37" s="106"/>
      <c r="B37" s="308"/>
      <c r="C37" s="205">
        <v>46533</v>
      </c>
      <c r="D37" s="97">
        <f t="shared" si="3"/>
        <v>30</v>
      </c>
      <c r="F37" s="189"/>
      <c r="G37" s="101"/>
      <c r="H37" s="198"/>
      <c r="I37" s="199"/>
      <c r="J37" s="198"/>
      <c r="K37" s="229"/>
      <c r="L37" s="101"/>
      <c r="M37" s="195">
        <f t="shared" si="4"/>
        <v>0</v>
      </c>
      <c r="N37" s="195">
        <v>0</v>
      </c>
      <c r="O37" s="197"/>
      <c r="P37" s="230"/>
      <c r="Q37" s="101"/>
      <c r="R37" s="192">
        <f t="shared" si="2"/>
        <v>0</v>
      </c>
    </row>
    <row r="38" spans="1:19" x14ac:dyDescent="0.25">
      <c r="A38" s="106"/>
      <c r="B38" s="308"/>
      <c r="C38" s="205">
        <v>46566</v>
      </c>
      <c r="D38" s="97">
        <f t="shared" si="3"/>
        <v>33</v>
      </c>
      <c r="F38" s="189"/>
      <c r="G38" s="101"/>
      <c r="H38" s="198"/>
      <c r="I38" s="199"/>
      <c r="J38" s="198"/>
      <c r="K38" s="229"/>
      <c r="L38" s="101"/>
      <c r="M38" s="195">
        <f t="shared" si="4"/>
        <v>0</v>
      </c>
      <c r="N38" s="195">
        <v>0</v>
      </c>
      <c r="O38" s="197"/>
      <c r="P38" s="230"/>
      <c r="Q38" s="101"/>
      <c r="R38" s="192">
        <f t="shared" si="2"/>
        <v>0</v>
      </c>
    </row>
    <row r="39" spans="1:19" x14ac:dyDescent="0.25">
      <c r="A39" s="106"/>
      <c r="B39" s="308"/>
      <c r="C39" s="205">
        <v>46594</v>
      </c>
      <c r="D39" s="97">
        <f t="shared" si="3"/>
        <v>28</v>
      </c>
      <c r="F39" s="189"/>
      <c r="G39" s="101"/>
      <c r="H39" s="198"/>
      <c r="I39" s="199"/>
      <c r="J39" s="198"/>
      <c r="K39" s="229"/>
      <c r="L39" s="101"/>
      <c r="M39" s="195">
        <f t="shared" si="4"/>
        <v>0</v>
      </c>
      <c r="N39" s="195">
        <v>0</v>
      </c>
      <c r="O39" s="197"/>
      <c r="P39" s="230"/>
      <c r="Q39" s="101"/>
      <c r="R39" s="192">
        <f t="shared" si="2"/>
        <v>0</v>
      </c>
    </row>
    <row r="40" spans="1:19" x14ac:dyDescent="0.25">
      <c r="A40" s="106"/>
      <c r="B40" s="308"/>
      <c r="C40" s="205">
        <v>46625</v>
      </c>
      <c r="D40" s="97">
        <f t="shared" si="3"/>
        <v>31</v>
      </c>
      <c r="F40" s="189"/>
      <c r="G40" s="101"/>
      <c r="H40" s="198"/>
      <c r="I40" s="199"/>
      <c r="J40" s="198"/>
      <c r="K40" s="229"/>
      <c r="L40" s="101"/>
      <c r="M40" s="195">
        <f t="shared" si="4"/>
        <v>0</v>
      </c>
      <c r="N40" s="195">
        <v>0</v>
      </c>
      <c r="O40" s="197"/>
      <c r="P40" s="230"/>
      <c r="Q40" s="101"/>
      <c r="R40" s="192">
        <f t="shared" si="2"/>
        <v>0</v>
      </c>
    </row>
    <row r="41" spans="1:19" x14ac:dyDescent="0.25">
      <c r="A41" s="106"/>
      <c r="B41" s="308"/>
      <c r="C41" s="205">
        <v>46657</v>
      </c>
      <c r="D41" s="97">
        <f t="shared" si="3"/>
        <v>32</v>
      </c>
      <c r="F41" s="189"/>
      <c r="G41" s="101"/>
      <c r="H41" s="198"/>
      <c r="I41" s="199"/>
      <c r="J41" s="198"/>
      <c r="K41" s="229"/>
      <c r="L41" s="101"/>
      <c r="M41" s="195">
        <f t="shared" si="4"/>
        <v>0</v>
      </c>
      <c r="N41" s="195">
        <v>0</v>
      </c>
      <c r="O41" s="197"/>
      <c r="P41" s="230"/>
      <c r="Q41" s="101"/>
      <c r="R41" s="192">
        <f t="shared" si="2"/>
        <v>0</v>
      </c>
    </row>
    <row r="42" spans="1:19" x14ac:dyDescent="0.25">
      <c r="A42" s="106"/>
      <c r="B42" s="308"/>
      <c r="C42" s="205">
        <v>46686</v>
      </c>
      <c r="D42" s="97">
        <f t="shared" si="3"/>
        <v>29</v>
      </c>
      <c r="F42" s="189"/>
      <c r="G42" s="101"/>
      <c r="H42" s="198"/>
      <c r="I42" s="199"/>
      <c r="J42" s="198"/>
      <c r="K42" s="229"/>
      <c r="L42" s="101"/>
      <c r="M42" s="195">
        <f t="shared" si="4"/>
        <v>0</v>
      </c>
      <c r="N42" s="195">
        <v>0</v>
      </c>
      <c r="O42" s="197"/>
      <c r="P42" s="230"/>
      <c r="Q42" s="101"/>
      <c r="R42" s="192">
        <f t="shared" si="2"/>
        <v>0</v>
      </c>
    </row>
    <row r="43" spans="1:19" x14ac:dyDescent="0.25">
      <c r="A43" s="106"/>
      <c r="B43" s="308"/>
      <c r="C43" s="205">
        <v>46717</v>
      </c>
      <c r="D43" s="97">
        <f t="shared" si="3"/>
        <v>31</v>
      </c>
      <c r="F43" s="189"/>
      <c r="G43" s="101"/>
      <c r="H43" s="198"/>
      <c r="I43" s="199"/>
      <c r="J43" s="198"/>
      <c r="K43" s="229"/>
      <c r="L43" s="101"/>
      <c r="M43" s="195">
        <f t="shared" si="4"/>
        <v>0</v>
      </c>
      <c r="N43" s="195">
        <v>0</v>
      </c>
      <c r="O43" s="197"/>
      <c r="P43" s="230"/>
      <c r="Q43" s="101"/>
      <c r="R43" s="192">
        <f t="shared" si="2"/>
        <v>0</v>
      </c>
    </row>
    <row r="44" spans="1:19" x14ac:dyDescent="0.25">
      <c r="A44" s="106"/>
      <c r="B44" s="308"/>
      <c r="C44" s="205">
        <v>46750</v>
      </c>
      <c r="D44" s="97">
        <f t="shared" si="3"/>
        <v>33</v>
      </c>
      <c r="F44" s="189"/>
      <c r="G44" s="101"/>
      <c r="H44" s="198"/>
      <c r="I44" s="199"/>
      <c r="J44" s="198"/>
      <c r="K44" s="229"/>
      <c r="L44" s="101"/>
      <c r="M44" s="195">
        <f t="shared" si="4"/>
        <v>0</v>
      </c>
      <c r="N44" s="195">
        <v>0</v>
      </c>
      <c r="O44" s="197"/>
      <c r="P44" s="230"/>
      <c r="Q44" s="101"/>
      <c r="R44" s="192">
        <f t="shared" si="2"/>
        <v>0</v>
      </c>
    </row>
    <row r="45" spans="1:19" x14ac:dyDescent="0.25">
      <c r="A45" s="106"/>
      <c r="B45" s="308"/>
      <c r="C45" s="205">
        <v>46778</v>
      </c>
      <c r="D45" s="97">
        <f t="shared" si="3"/>
        <v>28</v>
      </c>
      <c r="F45" s="189"/>
      <c r="G45" s="101"/>
      <c r="H45" s="198"/>
      <c r="I45" s="199"/>
      <c r="J45" s="198"/>
      <c r="K45" s="229"/>
      <c r="L45" s="101"/>
      <c r="M45" s="195">
        <f t="shared" si="4"/>
        <v>0</v>
      </c>
      <c r="N45" s="195">
        <v>0</v>
      </c>
      <c r="O45" s="197"/>
      <c r="P45" s="230"/>
      <c r="Q45" s="101"/>
      <c r="R45" s="192">
        <f t="shared" si="2"/>
        <v>0</v>
      </c>
    </row>
    <row r="46" spans="1:19" x14ac:dyDescent="0.25">
      <c r="A46" s="106"/>
      <c r="B46" s="308"/>
      <c r="C46" s="205">
        <v>46811</v>
      </c>
      <c r="D46" s="97">
        <f t="shared" si="3"/>
        <v>33</v>
      </c>
      <c r="F46" s="189"/>
      <c r="G46" s="101"/>
      <c r="H46" s="198"/>
      <c r="I46" s="199"/>
      <c r="J46" s="198"/>
      <c r="K46" s="229"/>
      <c r="L46" s="101"/>
      <c r="M46" s="195">
        <f t="shared" si="4"/>
        <v>0</v>
      </c>
      <c r="N46" s="195">
        <v>0</v>
      </c>
      <c r="O46" s="197"/>
      <c r="P46" s="230"/>
      <c r="Q46" s="101"/>
      <c r="R46" s="192">
        <f t="shared" si="2"/>
        <v>0</v>
      </c>
    </row>
    <row r="47" spans="1:19" x14ac:dyDescent="0.25">
      <c r="A47" s="106"/>
      <c r="B47" s="308"/>
      <c r="C47" s="205">
        <v>46839</v>
      </c>
      <c r="D47" s="97">
        <f t="shared" si="3"/>
        <v>28</v>
      </c>
      <c r="F47" s="189"/>
      <c r="G47" s="101"/>
      <c r="H47" s="198"/>
      <c r="I47" s="199"/>
      <c r="J47" s="198"/>
      <c r="K47" s="229"/>
      <c r="L47" s="101"/>
      <c r="M47" s="195">
        <f t="shared" si="4"/>
        <v>0</v>
      </c>
      <c r="N47" s="195">
        <v>0</v>
      </c>
      <c r="O47" s="197"/>
      <c r="P47" s="230"/>
      <c r="Q47" s="101"/>
      <c r="R47" s="192">
        <f t="shared" si="2"/>
        <v>0</v>
      </c>
    </row>
    <row r="48" spans="1:19" x14ac:dyDescent="0.25">
      <c r="A48" s="106"/>
      <c r="B48" s="308"/>
      <c r="C48" s="205">
        <v>46869</v>
      </c>
      <c r="D48" s="97">
        <f t="shared" si="3"/>
        <v>30</v>
      </c>
      <c r="F48" s="189"/>
      <c r="G48" s="101"/>
      <c r="H48" s="198"/>
      <c r="I48" s="199"/>
      <c r="J48" s="198"/>
      <c r="K48" s="229"/>
      <c r="L48" s="101"/>
      <c r="M48" s="195">
        <f t="shared" si="4"/>
        <v>0</v>
      </c>
      <c r="N48" s="195">
        <v>0</v>
      </c>
      <c r="O48" s="197"/>
      <c r="P48" s="230"/>
      <c r="Q48" s="101"/>
      <c r="R48" s="192">
        <f t="shared" si="2"/>
        <v>0</v>
      </c>
    </row>
    <row r="49" spans="1:18" x14ac:dyDescent="0.25">
      <c r="A49" s="106"/>
      <c r="B49" s="308"/>
      <c r="C49" s="205">
        <v>46899</v>
      </c>
      <c r="D49" s="97">
        <f t="shared" si="3"/>
        <v>30</v>
      </c>
      <c r="F49" s="189"/>
      <c r="G49" s="101"/>
      <c r="H49" s="198"/>
      <c r="I49" s="199"/>
      <c r="J49" s="198"/>
      <c r="K49" s="229"/>
      <c r="L49" s="101"/>
      <c r="M49" s="195">
        <f t="shared" si="4"/>
        <v>0</v>
      </c>
      <c r="N49" s="195">
        <v>0</v>
      </c>
      <c r="O49" s="197"/>
      <c r="P49" s="230"/>
      <c r="Q49" s="101"/>
      <c r="R49" s="192">
        <f t="shared" si="2"/>
        <v>0</v>
      </c>
    </row>
    <row r="50" spans="1:18" x14ac:dyDescent="0.25">
      <c r="A50" s="206"/>
      <c r="B50" s="308"/>
      <c r="C50" s="304">
        <v>46931</v>
      </c>
      <c r="D50" s="164">
        <f t="shared" si="3"/>
        <v>32</v>
      </c>
      <c r="F50" s="189"/>
      <c r="G50" s="101"/>
      <c r="H50" s="198"/>
      <c r="I50" s="199"/>
      <c r="J50" s="198"/>
      <c r="K50" s="229"/>
      <c r="L50" s="101"/>
      <c r="M50" s="195">
        <f t="shared" si="4"/>
        <v>0</v>
      </c>
      <c r="N50" s="195">
        <v>0</v>
      </c>
      <c r="O50" s="197"/>
      <c r="P50" s="230"/>
      <c r="Q50" s="101"/>
      <c r="R50" s="192">
        <f t="shared" si="2"/>
        <v>0</v>
      </c>
    </row>
    <row r="51" spans="1:18" x14ac:dyDescent="0.25">
      <c r="A51" s="106"/>
      <c r="B51" s="308"/>
      <c r="C51" s="304">
        <v>46960</v>
      </c>
      <c r="D51" s="164">
        <f t="shared" si="3"/>
        <v>29</v>
      </c>
      <c r="F51" s="189"/>
      <c r="G51" s="101"/>
      <c r="H51" s="198"/>
      <c r="I51" s="199"/>
      <c r="J51" s="198"/>
      <c r="K51" s="229"/>
      <c r="L51" s="101"/>
      <c r="M51" s="195">
        <f t="shared" si="4"/>
        <v>0</v>
      </c>
      <c r="N51" s="195">
        <v>0</v>
      </c>
      <c r="O51" s="197"/>
      <c r="P51" s="230"/>
      <c r="Q51" s="101"/>
      <c r="R51" s="192">
        <f t="shared" si="2"/>
        <v>0</v>
      </c>
    </row>
    <row r="52" spans="1:18" x14ac:dyDescent="0.25">
      <c r="A52" s="106"/>
      <c r="B52" s="308"/>
      <c r="C52" s="304">
        <v>46993</v>
      </c>
      <c r="D52" s="164">
        <f t="shared" si="3"/>
        <v>33</v>
      </c>
      <c r="F52" s="189"/>
      <c r="G52" s="101"/>
      <c r="H52" s="198"/>
      <c r="I52" s="199"/>
      <c r="J52" s="198"/>
      <c r="K52" s="229"/>
      <c r="L52" s="101"/>
      <c r="M52" s="195">
        <f t="shared" si="4"/>
        <v>0</v>
      </c>
      <c r="N52" s="195">
        <v>0</v>
      </c>
      <c r="O52" s="197"/>
      <c r="P52" s="230"/>
      <c r="Q52" s="101"/>
      <c r="R52" s="192">
        <f t="shared" si="2"/>
        <v>0</v>
      </c>
    </row>
    <row r="53" spans="1:18" x14ac:dyDescent="0.25">
      <c r="A53" s="106"/>
      <c r="B53" s="308"/>
      <c r="C53" s="304">
        <v>47022</v>
      </c>
      <c r="D53" s="164">
        <f t="shared" si="3"/>
        <v>29</v>
      </c>
      <c r="F53" s="189"/>
      <c r="G53" s="101"/>
      <c r="H53" s="198"/>
      <c r="I53" s="199"/>
      <c r="J53" s="198"/>
      <c r="K53" s="229"/>
      <c r="L53" s="101"/>
      <c r="M53" s="195">
        <f t="shared" si="4"/>
        <v>0</v>
      </c>
      <c r="N53" s="195">
        <v>0</v>
      </c>
      <c r="O53" s="197"/>
      <c r="P53" s="230"/>
      <c r="Q53" s="101"/>
      <c r="R53" s="192">
        <f t="shared" si="2"/>
        <v>0</v>
      </c>
    </row>
    <row r="54" spans="1:18" x14ac:dyDescent="0.25">
      <c r="A54" s="106"/>
      <c r="B54" s="308"/>
      <c r="C54" s="304">
        <v>47052</v>
      </c>
      <c r="D54" s="164">
        <f t="shared" si="3"/>
        <v>30</v>
      </c>
      <c r="F54" s="189"/>
      <c r="G54" s="101"/>
      <c r="H54" s="198"/>
      <c r="I54" s="199"/>
      <c r="J54" s="198"/>
      <c r="K54" s="229"/>
      <c r="L54" s="101"/>
      <c r="M54" s="195">
        <f t="shared" si="4"/>
        <v>0</v>
      </c>
      <c r="N54" s="195">
        <v>0</v>
      </c>
      <c r="O54" s="197"/>
      <c r="P54" s="230"/>
      <c r="Q54" s="101"/>
      <c r="R54" s="192">
        <f t="shared" si="2"/>
        <v>0</v>
      </c>
    </row>
    <row r="55" spans="1:18" x14ac:dyDescent="0.25">
      <c r="A55" s="106"/>
      <c r="B55" s="308"/>
      <c r="C55" s="304">
        <v>47084</v>
      </c>
      <c r="D55" s="164">
        <f t="shared" si="3"/>
        <v>32</v>
      </c>
      <c r="F55" s="189"/>
      <c r="G55" s="101"/>
      <c r="H55" s="198"/>
      <c r="I55" s="199"/>
      <c r="J55" s="198"/>
      <c r="K55" s="229"/>
      <c r="L55" s="101"/>
      <c r="M55" s="195">
        <f t="shared" si="4"/>
        <v>0</v>
      </c>
      <c r="N55" s="195">
        <v>0</v>
      </c>
      <c r="O55" s="197"/>
      <c r="P55" s="230"/>
      <c r="Q55" s="101"/>
      <c r="R55" s="192">
        <f t="shared" si="2"/>
        <v>0</v>
      </c>
    </row>
    <row r="56" spans="1:18" x14ac:dyDescent="0.25">
      <c r="A56" s="106"/>
      <c r="B56" s="308"/>
      <c r="C56" s="304">
        <v>47114</v>
      </c>
      <c r="D56" s="164">
        <f t="shared" si="3"/>
        <v>30</v>
      </c>
      <c r="F56" s="189"/>
      <c r="G56" s="101"/>
      <c r="H56" s="198"/>
      <c r="I56" s="199"/>
      <c r="J56" s="198"/>
      <c r="K56" s="229"/>
      <c r="L56" s="101"/>
      <c r="M56" s="195">
        <f t="shared" si="4"/>
        <v>0</v>
      </c>
      <c r="N56" s="195">
        <v>0</v>
      </c>
      <c r="O56" s="197"/>
      <c r="P56" s="230"/>
      <c r="Q56" s="101"/>
      <c r="R56" s="192">
        <f t="shared" si="2"/>
        <v>0</v>
      </c>
    </row>
    <row r="57" spans="1:18" x14ac:dyDescent="0.25">
      <c r="A57" s="106"/>
      <c r="B57" s="308"/>
      <c r="C57" s="304">
        <v>47144</v>
      </c>
      <c r="D57" s="164">
        <f t="shared" si="3"/>
        <v>30</v>
      </c>
      <c r="F57" s="189"/>
      <c r="G57" s="101"/>
      <c r="H57" s="198"/>
      <c r="I57" s="199"/>
      <c r="J57" s="198"/>
      <c r="K57" s="229"/>
      <c r="L57" s="101"/>
      <c r="M57" s="195">
        <f t="shared" si="4"/>
        <v>0</v>
      </c>
      <c r="N57" s="195">
        <v>0</v>
      </c>
      <c r="O57" s="197"/>
      <c r="P57" s="230"/>
      <c r="Q57" s="101"/>
      <c r="R57" s="192">
        <f t="shared" si="2"/>
        <v>0</v>
      </c>
    </row>
    <row r="58" spans="1:18" x14ac:dyDescent="0.25">
      <c r="A58" s="106"/>
      <c r="B58" s="308"/>
      <c r="C58" s="304">
        <v>47175</v>
      </c>
      <c r="D58" s="164">
        <f t="shared" si="3"/>
        <v>31</v>
      </c>
      <c r="F58" s="189"/>
      <c r="G58" s="101"/>
      <c r="H58" s="198"/>
      <c r="I58" s="199"/>
      <c r="J58" s="198"/>
      <c r="K58" s="229"/>
      <c r="L58" s="101"/>
      <c r="M58" s="195">
        <f t="shared" si="4"/>
        <v>0</v>
      </c>
      <c r="N58" s="195">
        <v>0</v>
      </c>
      <c r="O58" s="197"/>
      <c r="P58" s="230"/>
      <c r="Q58" s="101"/>
      <c r="R58" s="192">
        <f t="shared" si="2"/>
        <v>0</v>
      </c>
    </row>
    <row r="59" spans="1:18" x14ac:dyDescent="0.25">
      <c r="A59" s="106"/>
      <c r="B59" s="308"/>
      <c r="C59" s="304">
        <v>47203</v>
      </c>
      <c r="D59" s="164">
        <f t="shared" si="3"/>
        <v>28</v>
      </c>
      <c r="F59" s="189"/>
      <c r="G59" s="101"/>
      <c r="H59" s="198"/>
      <c r="I59" s="199"/>
      <c r="J59" s="198"/>
      <c r="K59" s="229"/>
      <c r="L59" s="101"/>
      <c r="M59" s="195">
        <f t="shared" si="4"/>
        <v>0</v>
      </c>
      <c r="N59" s="195">
        <v>0</v>
      </c>
      <c r="O59" s="197"/>
      <c r="P59" s="230"/>
      <c r="Q59" s="101"/>
      <c r="R59" s="192">
        <f t="shared" si="2"/>
        <v>0</v>
      </c>
    </row>
    <row r="60" spans="1:18" x14ac:dyDescent="0.25">
      <c r="A60" s="106"/>
      <c r="B60" s="308"/>
      <c r="C60" s="304">
        <v>47234</v>
      </c>
      <c r="D60" s="164">
        <f t="shared" si="3"/>
        <v>31</v>
      </c>
      <c r="F60" s="189"/>
      <c r="G60" s="101"/>
      <c r="H60" s="198"/>
      <c r="I60" s="199"/>
      <c r="J60" s="198"/>
      <c r="K60" s="229"/>
      <c r="L60" s="101"/>
      <c r="M60" s="195">
        <f t="shared" si="4"/>
        <v>0</v>
      </c>
      <c r="N60" s="195">
        <v>0</v>
      </c>
      <c r="O60" s="197"/>
      <c r="P60" s="230"/>
      <c r="Q60" s="101"/>
      <c r="R60" s="192">
        <f t="shared" si="2"/>
        <v>0</v>
      </c>
    </row>
    <row r="61" spans="1:18" x14ac:dyDescent="0.25">
      <c r="A61" s="106"/>
      <c r="B61" s="308"/>
      <c r="C61" s="304">
        <v>47266</v>
      </c>
      <c r="D61" s="164">
        <f t="shared" si="3"/>
        <v>32</v>
      </c>
      <c r="F61" s="189"/>
      <c r="G61" s="101"/>
      <c r="H61" s="198"/>
      <c r="I61" s="199"/>
      <c r="J61" s="198"/>
      <c r="K61" s="229"/>
      <c r="L61" s="101"/>
      <c r="M61" s="195">
        <f t="shared" si="4"/>
        <v>0</v>
      </c>
      <c r="N61" s="195">
        <v>0</v>
      </c>
      <c r="O61" s="197"/>
      <c r="P61" s="230"/>
      <c r="Q61" s="101"/>
      <c r="R61" s="192">
        <f t="shared" si="2"/>
        <v>0</v>
      </c>
    </row>
    <row r="62" spans="1:18" x14ac:dyDescent="0.25">
      <c r="A62" s="106"/>
      <c r="B62" s="308"/>
      <c r="C62" s="304">
        <v>47295</v>
      </c>
      <c r="D62" s="164">
        <f t="shared" si="3"/>
        <v>29</v>
      </c>
      <c r="F62" s="189"/>
      <c r="G62" s="101"/>
      <c r="H62" s="198"/>
      <c r="I62" s="199"/>
      <c r="J62" s="198"/>
      <c r="K62" s="229"/>
      <c r="L62" s="101"/>
      <c r="M62" s="195">
        <f t="shared" si="4"/>
        <v>0</v>
      </c>
      <c r="N62" s="195">
        <v>0</v>
      </c>
      <c r="O62" s="197"/>
      <c r="P62" s="230"/>
      <c r="Q62" s="101"/>
      <c r="R62" s="192">
        <f t="shared" si="2"/>
        <v>0</v>
      </c>
    </row>
    <row r="63" spans="1:18" x14ac:dyDescent="0.25">
      <c r="A63" s="106"/>
      <c r="B63" s="308"/>
      <c r="C63" s="205">
        <v>47325</v>
      </c>
      <c r="D63" s="212">
        <f t="shared" si="3"/>
        <v>30</v>
      </c>
      <c r="F63" s="189"/>
      <c r="G63" s="101"/>
      <c r="H63" s="198"/>
      <c r="I63" s="199"/>
      <c r="J63" s="198"/>
      <c r="K63" s="229"/>
      <c r="L63" s="101"/>
      <c r="M63" s="195">
        <f t="shared" si="4"/>
        <v>0</v>
      </c>
      <c r="N63" s="195">
        <v>0</v>
      </c>
      <c r="O63" s="197"/>
      <c r="P63" s="230"/>
      <c r="Q63" s="101"/>
      <c r="R63" s="192">
        <f t="shared" si="2"/>
        <v>0</v>
      </c>
    </row>
    <row r="64" spans="1:18" x14ac:dyDescent="0.25">
      <c r="A64" s="106"/>
      <c r="B64" s="308"/>
      <c r="C64" s="304">
        <v>47357</v>
      </c>
      <c r="D64" s="212">
        <f t="shared" si="3"/>
        <v>32</v>
      </c>
      <c r="F64" s="189"/>
      <c r="H64" s="198"/>
      <c r="I64" s="199"/>
      <c r="J64" s="198"/>
      <c r="K64" s="229"/>
      <c r="M64" s="195">
        <f t="shared" si="4"/>
        <v>0</v>
      </c>
      <c r="N64" s="195">
        <v>0</v>
      </c>
      <c r="O64" s="197"/>
      <c r="P64" s="230"/>
      <c r="R64" s="192">
        <f t="shared" si="2"/>
        <v>0</v>
      </c>
    </row>
    <row r="65" spans="1:18" x14ac:dyDescent="0.25">
      <c r="A65" s="106"/>
      <c r="B65" s="308"/>
      <c r="C65" s="304">
        <v>47387</v>
      </c>
      <c r="D65" s="212">
        <f t="shared" si="3"/>
        <v>30</v>
      </c>
      <c r="F65" s="189"/>
      <c r="H65" s="198"/>
      <c r="I65" s="199"/>
      <c r="J65" s="198"/>
      <c r="K65" s="229"/>
      <c r="M65" s="195">
        <f t="shared" si="4"/>
        <v>0</v>
      </c>
      <c r="N65" s="195">
        <v>0</v>
      </c>
      <c r="O65" s="197"/>
      <c r="P65" s="230"/>
      <c r="R65" s="192">
        <f t="shared" si="2"/>
        <v>0</v>
      </c>
    </row>
    <row r="66" spans="1:18" x14ac:dyDescent="0.25">
      <c r="A66" s="106"/>
      <c r="B66" s="308"/>
      <c r="C66" s="304">
        <v>47417</v>
      </c>
      <c r="D66" s="212">
        <f t="shared" si="3"/>
        <v>30</v>
      </c>
      <c r="F66" s="189"/>
      <c r="H66" s="198"/>
      <c r="I66" s="199"/>
      <c r="J66" s="198"/>
      <c r="K66" s="229"/>
      <c r="M66" s="195">
        <f t="shared" si="4"/>
        <v>0</v>
      </c>
      <c r="N66" s="195">
        <v>0</v>
      </c>
      <c r="O66" s="197"/>
      <c r="P66" s="230"/>
      <c r="R66" s="192">
        <f t="shared" si="2"/>
        <v>0</v>
      </c>
    </row>
    <row r="67" spans="1:18" x14ac:dyDescent="0.25">
      <c r="A67" s="106"/>
      <c r="B67" s="308"/>
      <c r="C67" s="304">
        <v>47448</v>
      </c>
      <c r="D67" s="212">
        <f t="shared" si="3"/>
        <v>31</v>
      </c>
      <c r="F67" s="189"/>
      <c r="H67" s="198"/>
      <c r="I67" s="199"/>
      <c r="J67" s="198"/>
      <c r="K67" s="229"/>
      <c r="M67" s="195">
        <f t="shared" si="4"/>
        <v>0</v>
      </c>
      <c r="N67" s="195">
        <v>0</v>
      </c>
      <c r="O67" s="197"/>
      <c r="P67" s="230"/>
      <c r="R67" s="192">
        <f t="shared" si="2"/>
        <v>0</v>
      </c>
    </row>
    <row r="68" spans="1:18" x14ac:dyDescent="0.25">
      <c r="A68" s="106"/>
      <c r="B68" s="308"/>
      <c r="C68" s="304">
        <v>47479</v>
      </c>
      <c r="D68" s="212">
        <f t="shared" si="3"/>
        <v>31</v>
      </c>
      <c r="F68" s="189"/>
      <c r="H68" s="198"/>
      <c r="I68" s="199"/>
      <c r="J68" s="198"/>
      <c r="K68" s="229"/>
      <c r="M68" s="195">
        <f t="shared" si="4"/>
        <v>0</v>
      </c>
      <c r="N68" s="195">
        <v>0</v>
      </c>
      <c r="O68" s="197"/>
      <c r="P68" s="230"/>
      <c r="R68" s="192">
        <f t="shared" si="2"/>
        <v>0</v>
      </c>
    </row>
    <row r="69" spans="1:18" x14ac:dyDescent="0.25">
      <c r="A69" s="106"/>
      <c r="B69" s="308"/>
      <c r="C69" s="304">
        <v>47511</v>
      </c>
      <c r="D69" s="212">
        <f t="shared" si="3"/>
        <v>32</v>
      </c>
      <c r="F69" s="189"/>
      <c r="H69" s="198"/>
      <c r="I69" s="199"/>
      <c r="J69" s="198"/>
      <c r="K69" s="229"/>
      <c r="M69" s="195">
        <f t="shared" si="4"/>
        <v>0</v>
      </c>
      <c r="N69" s="195">
        <v>0</v>
      </c>
      <c r="O69" s="197"/>
      <c r="P69" s="230"/>
      <c r="R69" s="192">
        <f t="shared" si="2"/>
        <v>0</v>
      </c>
    </row>
    <row r="70" spans="1:18" x14ac:dyDescent="0.25">
      <c r="A70" s="106"/>
      <c r="B70" s="308"/>
      <c r="C70" s="304">
        <v>47540</v>
      </c>
      <c r="D70" s="212">
        <f t="shared" ref="D70:D122" si="5">C70-C69</f>
        <v>29</v>
      </c>
      <c r="F70" s="189"/>
      <c r="H70" s="198"/>
      <c r="I70" s="199"/>
      <c r="J70" s="198"/>
      <c r="K70" s="229"/>
      <c r="M70" s="195">
        <f t="shared" ref="M70:M122" si="6">M69-N70</f>
        <v>0</v>
      </c>
      <c r="N70" s="195">
        <v>0</v>
      </c>
      <c r="O70" s="197"/>
      <c r="P70" s="230"/>
      <c r="R70" s="192">
        <f t="shared" si="2"/>
        <v>0</v>
      </c>
    </row>
    <row r="71" spans="1:18" x14ac:dyDescent="0.25">
      <c r="A71" s="106"/>
      <c r="B71" s="308"/>
      <c r="C71" s="304">
        <v>47568</v>
      </c>
      <c r="D71" s="212">
        <f t="shared" si="5"/>
        <v>28</v>
      </c>
      <c r="F71" s="189"/>
      <c r="H71" s="198"/>
      <c r="I71" s="199"/>
      <c r="J71" s="198"/>
      <c r="K71" s="229"/>
      <c r="M71" s="195">
        <f t="shared" si="6"/>
        <v>0</v>
      </c>
      <c r="N71" s="195">
        <v>0</v>
      </c>
      <c r="O71" s="197"/>
      <c r="P71" s="230"/>
      <c r="R71" s="192">
        <f t="shared" si="2"/>
        <v>0</v>
      </c>
    </row>
    <row r="72" spans="1:18" x14ac:dyDescent="0.25">
      <c r="A72" s="106"/>
      <c r="B72" s="308"/>
      <c r="C72" s="304">
        <v>47599</v>
      </c>
      <c r="D72" s="212">
        <f t="shared" si="5"/>
        <v>31</v>
      </c>
      <c r="F72" s="189"/>
      <c r="H72" s="198"/>
      <c r="I72" s="199"/>
      <c r="J72" s="198"/>
      <c r="K72" s="229"/>
      <c r="M72" s="195">
        <f t="shared" si="6"/>
        <v>0</v>
      </c>
      <c r="N72" s="195">
        <v>0</v>
      </c>
      <c r="O72" s="197"/>
      <c r="P72" s="230"/>
      <c r="R72" s="192">
        <f t="shared" ref="R72:R122" si="7">K72+P72</f>
        <v>0</v>
      </c>
    </row>
    <row r="73" spans="1:18" x14ac:dyDescent="0.25">
      <c r="A73" s="106"/>
      <c r="B73" s="308"/>
      <c r="C73" s="304">
        <v>47630</v>
      </c>
      <c r="D73" s="212">
        <f t="shared" si="5"/>
        <v>31</v>
      </c>
      <c r="F73" s="189"/>
      <c r="H73" s="198"/>
      <c r="I73" s="199"/>
      <c r="J73" s="198"/>
      <c r="K73" s="229"/>
      <c r="M73" s="195">
        <f t="shared" si="6"/>
        <v>0</v>
      </c>
      <c r="N73" s="195">
        <v>0</v>
      </c>
      <c r="O73" s="197"/>
      <c r="P73" s="230"/>
      <c r="R73" s="192">
        <f t="shared" si="7"/>
        <v>0</v>
      </c>
    </row>
    <row r="74" spans="1:18" x14ac:dyDescent="0.25">
      <c r="A74" s="106"/>
      <c r="B74" s="308"/>
      <c r="C74" s="304">
        <v>47660</v>
      </c>
      <c r="D74" s="212">
        <f t="shared" si="5"/>
        <v>30</v>
      </c>
      <c r="F74" s="189"/>
      <c r="H74" s="198"/>
      <c r="I74" s="199"/>
      <c r="J74" s="198"/>
      <c r="K74" s="229"/>
      <c r="M74" s="195">
        <f t="shared" si="6"/>
        <v>0</v>
      </c>
      <c r="N74" s="195">
        <v>0</v>
      </c>
      <c r="O74" s="197"/>
      <c r="P74" s="230"/>
      <c r="R74" s="192">
        <f t="shared" si="7"/>
        <v>0</v>
      </c>
    </row>
    <row r="75" spans="1:18" x14ac:dyDescent="0.25">
      <c r="A75" s="106"/>
      <c r="B75" s="308"/>
      <c r="C75" s="304">
        <v>47690</v>
      </c>
      <c r="D75" s="212">
        <f t="shared" si="5"/>
        <v>30</v>
      </c>
      <c r="F75" s="189"/>
      <c r="H75" s="198"/>
      <c r="I75" s="199"/>
      <c r="J75" s="198"/>
      <c r="K75" s="229"/>
      <c r="M75" s="195">
        <f t="shared" si="6"/>
        <v>0</v>
      </c>
      <c r="N75" s="195">
        <v>0</v>
      </c>
      <c r="O75" s="197"/>
      <c r="P75" s="230"/>
      <c r="R75" s="192">
        <f t="shared" si="7"/>
        <v>0</v>
      </c>
    </row>
    <row r="76" spans="1:18" x14ac:dyDescent="0.25">
      <c r="A76" s="106"/>
      <c r="B76" s="308"/>
      <c r="C76" s="304">
        <v>47721</v>
      </c>
      <c r="D76" s="212">
        <f t="shared" si="5"/>
        <v>31</v>
      </c>
      <c r="F76" s="189"/>
      <c r="H76" s="198"/>
      <c r="I76" s="199"/>
      <c r="J76" s="198"/>
      <c r="K76" s="229"/>
      <c r="M76" s="195">
        <f t="shared" si="6"/>
        <v>0</v>
      </c>
      <c r="N76" s="195">
        <v>0</v>
      </c>
      <c r="O76" s="197"/>
      <c r="P76" s="230"/>
      <c r="R76" s="192">
        <f t="shared" si="7"/>
        <v>0</v>
      </c>
    </row>
    <row r="77" spans="1:18" x14ac:dyDescent="0.25">
      <c r="A77" s="106"/>
      <c r="B77" s="308"/>
      <c r="C77" s="304">
        <v>47752</v>
      </c>
      <c r="D77" s="212">
        <f t="shared" si="5"/>
        <v>31</v>
      </c>
      <c r="F77" s="189"/>
      <c r="H77" s="198"/>
      <c r="I77" s="199"/>
      <c r="J77" s="198"/>
      <c r="K77" s="229"/>
      <c r="M77" s="195">
        <f t="shared" si="6"/>
        <v>0</v>
      </c>
      <c r="N77" s="195">
        <v>0</v>
      </c>
      <c r="O77" s="197"/>
      <c r="P77" s="230"/>
      <c r="R77" s="192">
        <f t="shared" si="7"/>
        <v>0</v>
      </c>
    </row>
    <row r="78" spans="1:18" x14ac:dyDescent="0.25">
      <c r="A78" s="106"/>
      <c r="B78" s="308"/>
      <c r="C78" s="304">
        <v>47784</v>
      </c>
      <c r="D78" s="212">
        <f t="shared" si="5"/>
        <v>32</v>
      </c>
      <c r="F78" s="189"/>
      <c r="H78" s="198"/>
      <c r="I78" s="199"/>
      <c r="J78" s="198"/>
      <c r="K78" s="229"/>
      <c r="M78" s="195">
        <f t="shared" si="6"/>
        <v>0</v>
      </c>
      <c r="N78" s="195">
        <v>0</v>
      </c>
      <c r="O78" s="197"/>
      <c r="P78" s="230"/>
      <c r="R78" s="192">
        <f t="shared" si="7"/>
        <v>0</v>
      </c>
    </row>
    <row r="79" spans="1:18" x14ac:dyDescent="0.25">
      <c r="A79" s="106"/>
      <c r="B79" s="308"/>
      <c r="C79" s="304">
        <v>47813</v>
      </c>
      <c r="D79" s="212">
        <f t="shared" si="5"/>
        <v>29</v>
      </c>
      <c r="F79" s="189"/>
      <c r="H79" s="198"/>
      <c r="I79" s="199"/>
      <c r="J79" s="198"/>
      <c r="K79" s="229"/>
      <c r="M79" s="195">
        <f t="shared" si="6"/>
        <v>0</v>
      </c>
      <c r="N79" s="195">
        <v>0</v>
      </c>
      <c r="O79" s="197"/>
      <c r="P79" s="230"/>
      <c r="R79" s="192">
        <f t="shared" si="7"/>
        <v>0</v>
      </c>
    </row>
    <row r="80" spans="1:18" x14ac:dyDescent="0.25">
      <c r="A80" s="106"/>
      <c r="B80" s="308"/>
      <c r="C80" s="304">
        <v>47844</v>
      </c>
      <c r="D80" s="212">
        <f t="shared" si="5"/>
        <v>31</v>
      </c>
      <c r="F80" s="189"/>
      <c r="H80" s="198"/>
      <c r="I80" s="199"/>
      <c r="J80" s="198"/>
      <c r="K80" s="229"/>
      <c r="M80" s="195">
        <f t="shared" si="6"/>
        <v>0</v>
      </c>
      <c r="N80" s="195">
        <v>0</v>
      </c>
      <c r="O80" s="197"/>
      <c r="P80" s="230"/>
      <c r="R80" s="192">
        <f t="shared" si="7"/>
        <v>0</v>
      </c>
    </row>
    <row r="81" spans="1:18" x14ac:dyDescent="0.25">
      <c r="A81" s="106"/>
      <c r="B81" s="308"/>
      <c r="C81" s="304">
        <v>47875</v>
      </c>
      <c r="D81" s="212">
        <f t="shared" si="5"/>
        <v>31</v>
      </c>
      <c r="F81" s="189"/>
      <c r="H81" s="198"/>
      <c r="I81" s="199"/>
      <c r="J81" s="198"/>
      <c r="K81" s="229"/>
      <c r="M81" s="195">
        <f t="shared" si="6"/>
        <v>0</v>
      </c>
      <c r="N81" s="195">
        <v>0</v>
      </c>
      <c r="O81" s="197"/>
      <c r="P81" s="230"/>
      <c r="R81" s="192">
        <f t="shared" si="7"/>
        <v>0</v>
      </c>
    </row>
    <row r="82" spans="1:18" x14ac:dyDescent="0.25">
      <c r="A82" s="106"/>
      <c r="B82" s="308"/>
      <c r="C82" s="304">
        <v>47905</v>
      </c>
      <c r="D82" s="212">
        <f t="shared" si="5"/>
        <v>30</v>
      </c>
      <c r="F82" s="189"/>
      <c r="H82" s="198"/>
      <c r="I82" s="199"/>
      <c r="J82" s="198"/>
      <c r="K82" s="229"/>
      <c r="M82" s="195">
        <f t="shared" si="6"/>
        <v>0</v>
      </c>
      <c r="N82" s="195">
        <v>0</v>
      </c>
      <c r="O82" s="197"/>
      <c r="P82" s="230"/>
      <c r="R82" s="192">
        <f t="shared" si="7"/>
        <v>0</v>
      </c>
    </row>
    <row r="83" spans="1:18" x14ac:dyDescent="0.25">
      <c r="A83" s="106"/>
      <c r="B83" s="308"/>
      <c r="C83" s="304">
        <v>47933</v>
      </c>
      <c r="D83" s="212">
        <f t="shared" si="5"/>
        <v>28</v>
      </c>
      <c r="F83" s="189"/>
      <c r="H83" s="198"/>
      <c r="I83" s="199"/>
      <c r="J83" s="198"/>
      <c r="K83" s="229"/>
      <c r="M83" s="195">
        <f t="shared" si="6"/>
        <v>0</v>
      </c>
      <c r="N83" s="195">
        <v>0</v>
      </c>
      <c r="O83" s="197"/>
      <c r="P83" s="230"/>
      <c r="R83" s="192">
        <f t="shared" si="7"/>
        <v>0</v>
      </c>
    </row>
    <row r="84" spans="1:18" x14ac:dyDescent="0.25">
      <c r="A84" s="106"/>
      <c r="B84" s="308"/>
      <c r="C84" s="304">
        <v>47966</v>
      </c>
      <c r="D84" s="212">
        <f t="shared" si="5"/>
        <v>33</v>
      </c>
      <c r="F84" s="189"/>
      <c r="H84" s="198"/>
      <c r="I84" s="199"/>
      <c r="J84" s="198"/>
      <c r="K84" s="229"/>
      <c r="M84" s="195">
        <f t="shared" si="6"/>
        <v>0</v>
      </c>
      <c r="N84" s="195">
        <v>0</v>
      </c>
      <c r="O84" s="197"/>
      <c r="P84" s="230"/>
      <c r="R84" s="192">
        <f t="shared" si="7"/>
        <v>0</v>
      </c>
    </row>
    <row r="85" spans="1:18" x14ac:dyDescent="0.25">
      <c r="A85" s="106"/>
      <c r="B85" s="308"/>
      <c r="C85" s="304">
        <v>47994</v>
      </c>
      <c r="D85" s="212">
        <f t="shared" si="5"/>
        <v>28</v>
      </c>
      <c r="F85" s="189"/>
      <c r="H85" s="198"/>
      <c r="I85" s="199"/>
      <c r="J85" s="198"/>
      <c r="K85" s="229"/>
      <c r="M85" s="195">
        <f t="shared" si="6"/>
        <v>0</v>
      </c>
      <c r="N85" s="195">
        <v>0</v>
      </c>
      <c r="O85" s="197"/>
      <c r="P85" s="230"/>
      <c r="R85" s="192">
        <f t="shared" si="7"/>
        <v>0</v>
      </c>
    </row>
    <row r="86" spans="1:18" x14ac:dyDescent="0.25">
      <c r="A86" s="106"/>
      <c r="B86" s="308"/>
      <c r="C86" s="304">
        <v>48025</v>
      </c>
      <c r="D86" s="212">
        <f t="shared" si="5"/>
        <v>31</v>
      </c>
      <c r="F86" s="189"/>
      <c r="H86" s="198"/>
      <c r="I86" s="199"/>
      <c r="J86" s="198"/>
      <c r="K86" s="229"/>
      <c r="M86" s="195">
        <f t="shared" si="6"/>
        <v>0</v>
      </c>
      <c r="N86" s="195">
        <v>0</v>
      </c>
      <c r="O86" s="197"/>
      <c r="P86" s="230"/>
      <c r="R86" s="192">
        <f t="shared" si="7"/>
        <v>0</v>
      </c>
    </row>
    <row r="87" spans="1:18" x14ac:dyDescent="0.25">
      <c r="A87" s="106"/>
      <c r="B87" s="308"/>
      <c r="C87" s="304">
        <v>48057</v>
      </c>
      <c r="D87" s="212">
        <f t="shared" si="5"/>
        <v>32</v>
      </c>
      <c r="F87" s="189"/>
      <c r="H87" s="198"/>
      <c r="I87" s="199"/>
      <c r="J87" s="198"/>
      <c r="K87" s="229"/>
      <c r="M87" s="195">
        <f t="shared" si="6"/>
        <v>0</v>
      </c>
      <c r="N87" s="195">
        <v>0</v>
      </c>
      <c r="O87" s="197"/>
      <c r="P87" s="230"/>
      <c r="R87" s="192">
        <f t="shared" si="7"/>
        <v>0</v>
      </c>
    </row>
    <row r="88" spans="1:18" x14ac:dyDescent="0.25">
      <c r="A88" s="106"/>
      <c r="B88" s="308"/>
      <c r="C88" s="304">
        <v>48086</v>
      </c>
      <c r="D88" s="212">
        <f t="shared" si="5"/>
        <v>29</v>
      </c>
      <c r="F88" s="189"/>
      <c r="H88" s="198"/>
      <c r="I88" s="199"/>
      <c r="J88" s="198"/>
      <c r="K88" s="229"/>
      <c r="M88" s="195">
        <f t="shared" si="6"/>
        <v>0</v>
      </c>
      <c r="N88" s="195">
        <v>0</v>
      </c>
      <c r="O88" s="197"/>
      <c r="P88" s="230"/>
      <c r="R88" s="192">
        <f t="shared" si="7"/>
        <v>0</v>
      </c>
    </row>
    <row r="89" spans="1:18" x14ac:dyDescent="0.25">
      <c r="A89" s="106"/>
      <c r="B89" s="308"/>
      <c r="C89" s="304">
        <v>48117</v>
      </c>
      <c r="D89" s="212">
        <f t="shared" si="5"/>
        <v>31</v>
      </c>
      <c r="F89" s="189"/>
      <c r="H89" s="198"/>
      <c r="I89" s="199"/>
      <c r="J89" s="198"/>
      <c r="K89" s="229"/>
      <c r="M89" s="195">
        <f t="shared" si="6"/>
        <v>0</v>
      </c>
      <c r="N89" s="195">
        <v>0</v>
      </c>
      <c r="O89" s="197"/>
      <c r="P89" s="230"/>
      <c r="R89" s="192">
        <f t="shared" si="7"/>
        <v>0</v>
      </c>
    </row>
    <row r="90" spans="1:18" x14ac:dyDescent="0.25">
      <c r="A90" s="106"/>
      <c r="B90" s="308"/>
      <c r="C90" s="304">
        <v>48148</v>
      </c>
      <c r="D90" s="212">
        <f t="shared" si="5"/>
        <v>31</v>
      </c>
      <c r="F90" s="189"/>
      <c r="H90" s="198"/>
      <c r="I90" s="199"/>
      <c r="J90" s="198"/>
      <c r="K90" s="229"/>
      <c r="M90" s="195">
        <f t="shared" si="6"/>
        <v>0</v>
      </c>
      <c r="N90" s="195">
        <v>0</v>
      </c>
      <c r="O90" s="197"/>
      <c r="P90" s="230"/>
      <c r="R90" s="192">
        <f t="shared" si="7"/>
        <v>0</v>
      </c>
    </row>
    <row r="91" spans="1:18" x14ac:dyDescent="0.25">
      <c r="A91" s="106"/>
      <c r="B91" s="308"/>
      <c r="C91" s="304">
        <v>48178</v>
      </c>
      <c r="D91" s="212">
        <f t="shared" si="5"/>
        <v>30</v>
      </c>
      <c r="F91" s="189"/>
      <c r="H91" s="198"/>
      <c r="I91" s="199"/>
      <c r="J91" s="198"/>
      <c r="K91" s="229"/>
      <c r="M91" s="195">
        <f t="shared" si="6"/>
        <v>0</v>
      </c>
      <c r="N91" s="195">
        <v>0</v>
      </c>
      <c r="O91" s="197"/>
      <c r="P91" s="230"/>
      <c r="R91" s="192">
        <f t="shared" si="7"/>
        <v>0</v>
      </c>
    </row>
    <row r="92" spans="1:18" x14ac:dyDescent="0.25">
      <c r="A92" s="106"/>
      <c r="B92" s="308"/>
      <c r="C92" s="304">
        <v>48211</v>
      </c>
      <c r="D92" s="212">
        <f t="shared" si="5"/>
        <v>33</v>
      </c>
      <c r="F92" s="189"/>
      <c r="H92" s="198"/>
      <c r="I92" s="199"/>
      <c r="J92" s="198"/>
      <c r="K92" s="229"/>
      <c r="M92" s="195">
        <f t="shared" si="6"/>
        <v>0</v>
      </c>
      <c r="N92" s="195">
        <v>0</v>
      </c>
      <c r="O92" s="197"/>
      <c r="P92" s="230"/>
      <c r="R92" s="192">
        <f t="shared" si="7"/>
        <v>0</v>
      </c>
    </row>
    <row r="93" spans="1:18" x14ac:dyDescent="0.25">
      <c r="A93" s="106"/>
      <c r="B93" s="308"/>
      <c r="C93" s="304">
        <v>48239</v>
      </c>
      <c r="D93" s="212">
        <f t="shared" si="5"/>
        <v>28</v>
      </c>
      <c r="F93" s="189"/>
      <c r="H93" s="198"/>
      <c r="I93" s="199"/>
      <c r="J93" s="198"/>
      <c r="K93" s="229"/>
      <c r="M93" s="195">
        <f t="shared" si="6"/>
        <v>0</v>
      </c>
      <c r="N93" s="195">
        <v>0</v>
      </c>
      <c r="O93" s="197"/>
      <c r="P93" s="230"/>
      <c r="R93" s="192">
        <f t="shared" si="7"/>
        <v>0</v>
      </c>
    </row>
    <row r="94" spans="1:18" x14ac:dyDescent="0.25">
      <c r="A94" s="106"/>
      <c r="B94" s="308"/>
      <c r="C94" s="304">
        <v>48270</v>
      </c>
      <c r="D94" s="212">
        <f t="shared" si="5"/>
        <v>31</v>
      </c>
      <c r="F94" s="189"/>
      <c r="H94" s="198"/>
      <c r="I94" s="199"/>
      <c r="J94" s="198"/>
      <c r="K94" s="229"/>
      <c r="M94" s="195">
        <f t="shared" si="6"/>
        <v>0</v>
      </c>
      <c r="N94" s="195">
        <v>0</v>
      </c>
      <c r="O94" s="197"/>
      <c r="P94" s="230"/>
      <c r="R94" s="192">
        <f t="shared" si="7"/>
        <v>0</v>
      </c>
    </row>
    <row r="95" spans="1:18" x14ac:dyDescent="0.25">
      <c r="A95" s="106"/>
      <c r="B95" s="308"/>
      <c r="C95" s="304">
        <v>48302</v>
      </c>
      <c r="D95" s="212">
        <f t="shared" si="5"/>
        <v>32</v>
      </c>
      <c r="F95" s="189"/>
      <c r="H95" s="198"/>
      <c r="I95" s="199"/>
      <c r="J95" s="198"/>
      <c r="K95" s="229"/>
      <c r="M95" s="195">
        <f t="shared" si="6"/>
        <v>0</v>
      </c>
      <c r="N95" s="195">
        <v>0</v>
      </c>
      <c r="O95" s="197"/>
      <c r="P95" s="230"/>
      <c r="R95" s="192">
        <f t="shared" si="7"/>
        <v>0</v>
      </c>
    </row>
    <row r="96" spans="1:18" x14ac:dyDescent="0.25">
      <c r="A96" s="106"/>
      <c r="B96" s="308"/>
      <c r="C96" s="304">
        <v>48330</v>
      </c>
      <c r="D96" s="212">
        <f t="shared" si="5"/>
        <v>28</v>
      </c>
      <c r="F96" s="189"/>
      <c r="H96" s="198"/>
      <c r="I96" s="199"/>
      <c r="J96" s="198"/>
      <c r="K96" s="229"/>
      <c r="M96" s="195">
        <f t="shared" si="6"/>
        <v>0</v>
      </c>
      <c r="N96" s="195">
        <v>0</v>
      </c>
      <c r="O96" s="197"/>
      <c r="P96" s="230"/>
      <c r="R96" s="192">
        <f t="shared" si="7"/>
        <v>0</v>
      </c>
    </row>
    <row r="97" spans="1:18" x14ac:dyDescent="0.25">
      <c r="A97" s="106"/>
      <c r="B97" s="308"/>
      <c r="C97" s="304">
        <v>48360</v>
      </c>
      <c r="D97" s="212">
        <f t="shared" si="5"/>
        <v>30</v>
      </c>
      <c r="F97" s="189"/>
      <c r="H97" s="198"/>
      <c r="I97" s="199"/>
      <c r="J97" s="198"/>
      <c r="K97" s="229"/>
      <c r="M97" s="195">
        <f t="shared" si="6"/>
        <v>0</v>
      </c>
      <c r="N97" s="195">
        <v>0</v>
      </c>
      <c r="O97" s="197"/>
      <c r="P97" s="230"/>
      <c r="R97" s="192">
        <f t="shared" si="7"/>
        <v>0</v>
      </c>
    </row>
    <row r="98" spans="1:18" x14ac:dyDescent="0.25">
      <c r="A98" s="107"/>
      <c r="B98" s="309"/>
      <c r="C98" s="304">
        <v>48393</v>
      </c>
      <c r="D98" s="212">
        <f t="shared" si="5"/>
        <v>33</v>
      </c>
      <c r="F98" s="189"/>
      <c r="H98" s="198"/>
      <c r="I98" s="199"/>
      <c r="J98" s="198"/>
      <c r="K98" s="229"/>
      <c r="M98" s="195">
        <f t="shared" si="6"/>
        <v>0</v>
      </c>
      <c r="N98" s="195">
        <v>0</v>
      </c>
      <c r="O98" s="197"/>
      <c r="P98" s="230"/>
      <c r="R98" s="192">
        <f t="shared" si="7"/>
        <v>0</v>
      </c>
    </row>
    <row r="99" spans="1:18" x14ac:dyDescent="0.25">
      <c r="A99" s="107"/>
      <c r="B99" s="309"/>
      <c r="C99" s="304">
        <v>48421</v>
      </c>
      <c r="D99" s="212">
        <f t="shared" si="5"/>
        <v>28</v>
      </c>
      <c r="F99" s="189"/>
      <c r="H99" s="198"/>
      <c r="I99" s="199"/>
      <c r="J99" s="198"/>
      <c r="K99" s="229"/>
      <c r="M99" s="195">
        <f t="shared" si="6"/>
        <v>0</v>
      </c>
      <c r="N99" s="195">
        <v>0</v>
      </c>
      <c r="O99" s="197"/>
      <c r="P99" s="230"/>
      <c r="R99" s="192">
        <f t="shared" si="7"/>
        <v>0</v>
      </c>
    </row>
    <row r="100" spans="1:18" x14ac:dyDescent="0.25">
      <c r="A100" s="107"/>
      <c r="B100" s="309"/>
      <c r="C100" s="304">
        <v>48452</v>
      </c>
      <c r="D100" s="212">
        <f t="shared" si="5"/>
        <v>31</v>
      </c>
      <c r="F100" s="189"/>
      <c r="H100" s="198"/>
      <c r="I100" s="199"/>
      <c r="J100" s="198"/>
      <c r="K100" s="229"/>
      <c r="M100" s="195">
        <f t="shared" si="6"/>
        <v>0</v>
      </c>
      <c r="N100" s="195">
        <v>0</v>
      </c>
      <c r="O100" s="197"/>
      <c r="P100" s="230"/>
      <c r="R100" s="192">
        <f t="shared" si="7"/>
        <v>0</v>
      </c>
    </row>
    <row r="101" spans="1:18" x14ac:dyDescent="0.25">
      <c r="A101" s="107"/>
      <c r="B101" s="309"/>
      <c r="C101" s="304">
        <v>48484</v>
      </c>
      <c r="D101" s="212">
        <f t="shared" si="5"/>
        <v>32</v>
      </c>
      <c r="F101" s="189"/>
      <c r="H101" s="198"/>
      <c r="I101" s="199"/>
      <c r="J101" s="198"/>
      <c r="K101" s="229"/>
      <c r="M101" s="195">
        <f t="shared" si="6"/>
        <v>0</v>
      </c>
      <c r="N101" s="195">
        <v>0</v>
      </c>
      <c r="O101" s="197"/>
      <c r="P101" s="230"/>
      <c r="R101" s="192">
        <f t="shared" si="7"/>
        <v>0</v>
      </c>
    </row>
    <row r="102" spans="1:18" x14ac:dyDescent="0.25">
      <c r="A102" s="107"/>
      <c r="B102" s="309"/>
      <c r="C102" s="304">
        <v>48513</v>
      </c>
      <c r="D102" s="212">
        <f t="shared" si="5"/>
        <v>29</v>
      </c>
      <c r="F102" s="189"/>
      <c r="H102" s="198"/>
      <c r="I102" s="199"/>
      <c r="J102" s="198"/>
      <c r="K102" s="229"/>
      <c r="M102" s="195">
        <f t="shared" si="6"/>
        <v>0</v>
      </c>
      <c r="N102" s="195">
        <v>0</v>
      </c>
      <c r="O102" s="197"/>
      <c r="P102" s="230"/>
      <c r="R102" s="192">
        <f t="shared" si="7"/>
        <v>0</v>
      </c>
    </row>
    <row r="103" spans="1:18" x14ac:dyDescent="0.25">
      <c r="A103" s="107"/>
      <c r="B103" s="309"/>
      <c r="C103" s="304">
        <v>48544</v>
      </c>
      <c r="D103" s="212">
        <f t="shared" si="5"/>
        <v>31</v>
      </c>
      <c r="F103" s="189"/>
      <c r="H103" s="198"/>
      <c r="I103" s="199"/>
      <c r="J103" s="198"/>
      <c r="K103" s="229"/>
      <c r="M103" s="195">
        <f t="shared" si="6"/>
        <v>0</v>
      </c>
      <c r="N103" s="195">
        <v>0</v>
      </c>
      <c r="O103" s="197"/>
      <c r="P103" s="230"/>
      <c r="R103" s="192">
        <f t="shared" si="7"/>
        <v>0</v>
      </c>
    </row>
    <row r="104" spans="1:18" x14ac:dyDescent="0.25">
      <c r="A104" s="107"/>
      <c r="B104" s="309"/>
      <c r="C104" s="304">
        <v>48577</v>
      </c>
      <c r="D104" s="212">
        <f t="shared" si="5"/>
        <v>33</v>
      </c>
      <c r="F104" s="189"/>
      <c r="H104" s="198"/>
      <c r="I104" s="199"/>
      <c r="J104" s="198"/>
      <c r="K104" s="229"/>
      <c r="M104" s="195">
        <f t="shared" si="6"/>
        <v>0</v>
      </c>
      <c r="N104" s="195">
        <v>0</v>
      </c>
      <c r="O104" s="197"/>
      <c r="P104" s="230"/>
      <c r="R104" s="192">
        <f t="shared" si="7"/>
        <v>0</v>
      </c>
    </row>
    <row r="105" spans="1:18" x14ac:dyDescent="0.25">
      <c r="A105" s="107"/>
      <c r="B105" s="309"/>
      <c r="C105" s="304">
        <v>48605</v>
      </c>
      <c r="D105" s="212">
        <f t="shared" si="5"/>
        <v>28</v>
      </c>
      <c r="F105" s="189"/>
      <c r="H105" s="198"/>
      <c r="I105" s="199"/>
      <c r="J105" s="198"/>
      <c r="K105" s="229"/>
      <c r="M105" s="195">
        <f t="shared" si="6"/>
        <v>0</v>
      </c>
      <c r="N105" s="195">
        <v>0</v>
      </c>
      <c r="O105" s="197"/>
      <c r="P105" s="230"/>
      <c r="R105" s="192">
        <f t="shared" si="7"/>
        <v>0</v>
      </c>
    </row>
    <row r="106" spans="1:18" x14ac:dyDescent="0.25">
      <c r="A106" s="107"/>
      <c r="B106" s="309"/>
      <c r="C106" s="304">
        <v>48638</v>
      </c>
      <c r="D106" s="212">
        <f t="shared" si="5"/>
        <v>33</v>
      </c>
      <c r="F106" s="189"/>
      <c r="H106" s="198"/>
      <c r="I106" s="199"/>
      <c r="J106" s="198"/>
      <c r="K106" s="229"/>
      <c r="M106" s="195">
        <f t="shared" si="6"/>
        <v>0</v>
      </c>
      <c r="N106" s="195">
        <v>0</v>
      </c>
      <c r="O106" s="197"/>
      <c r="P106" s="230"/>
      <c r="R106" s="192">
        <f t="shared" si="7"/>
        <v>0</v>
      </c>
    </row>
    <row r="107" spans="1:18" x14ac:dyDescent="0.25">
      <c r="A107" s="107"/>
      <c r="B107" s="309"/>
      <c r="C107" s="304">
        <v>48666</v>
      </c>
      <c r="D107" s="212">
        <f t="shared" si="5"/>
        <v>28</v>
      </c>
      <c r="F107" s="189"/>
      <c r="H107" s="198"/>
      <c r="I107" s="199"/>
      <c r="J107" s="198"/>
      <c r="K107" s="229"/>
      <c r="M107" s="195">
        <f t="shared" si="6"/>
        <v>0</v>
      </c>
      <c r="N107" s="195">
        <v>0</v>
      </c>
      <c r="O107" s="197"/>
      <c r="P107" s="230"/>
      <c r="R107" s="192">
        <f t="shared" si="7"/>
        <v>0</v>
      </c>
    </row>
    <row r="108" spans="1:18" x14ac:dyDescent="0.25">
      <c r="A108" s="107"/>
      <c r="B108" s="309"/>
      <c r="C108" s="304">
        <v>48695</v>
      </c>
      <c r="D108" s="212">
        <f t="shared" si="5"/>
        <v>29</v>
      </c>
      <c r="F108" s="189"/>
      <c r="H108" s="198"/>
      <c r="I108" s="199"/>
      <c r="J108" s="198"/>
      <c r="K108" s="229"/>
      <c r="M108" s="195">
        <f t="shared" si="6"/>
        <v>0</v>
      </c>
      <c r="N108" s="195">
        <v>0</v>
      </c>
      <c r="O108" s="197"/>
      <c r="P108" s="230"/>
      <c r="R108" s="192">
        <f t="shared" si="7"/>
        <v>0</v>
      </c>
    </row>
    <row r="109" spans="1:18" x14ac:dyDescent="0.25">
      <c r="A109" s="107"/>
      <c r="B109" s="309"/>
      <c r="C109" s="304">
        <v>48725</v>
      </c>
      <c r="D109" s="212">
        <f t="shared" si="5"/>
        <v>30</v>
      </c>
      <c r="F109" s="189"/>
      <c r="H109" s="198"/>
      <c r="I109" s="199"/>
      <c r="J109" s="198"/>
      <c r="K109" s="229"/>
      <c r="M109" s="195">
        <f t="shared" si="6"/>
        <v>0</v>
      </c>
      <c r="N109" s="195">
        <v>0</v>
      </c>
      <c r="O109" s="197"/>
      <c r="P109" s="230"/>
      <c r="R109" s="192">
        <f t="shared" si="7"/>
        <v>0</v>
      </c>
    </row>
    <row r="110" spans="1:18" x14ac:dyDescent="0.25">
      <c r="A110" s="107"/>
      <c r="B110" s="309"/>
      <c r="C110" s="304">
        <v>48757</v>
      </c>
      <c r="D110" s="212">
        <f t="shared" si="5"/>
        <v>32</v>
      </c>
      <c r="F110" s="189"/>
      <c r="H110" s="198"/>
      <c r="I110" s="199"/>
      <c r="J110" s="198"/>
      <c r="K110" s="229"/>
      <c r="M110" s="195">
        <f t="shared" si="6"/>
        <v>0</v>
      </c>
      <c r="N110" s="195">
        <v>0</v>
      </c>
      <c r="O110" s="197"/>
      <c r="P110" s="230"/>
      <c r="R110" s="192">
        <f t="shared" si="7"/>
        <v>0</v>
      </c>
    </row>
    <row r="111" spans="1:18" x14ac:dyDescent="0.25">
      <c r="A111" s="107"/>
      <c r="B111" s="309"/>
      <c r="C111" s="304">
        <v>48786</v>
      </c>
      <c r="D111" s="212">
        <f t="shared" si="5"/>
        <v>29</v>
      </c>
      <c r="F111" s="189"/>
      <c r="H111" s="198"/>
      <c r="I111" s="199"/>
      <c r="J111" s="198"/>
      <c r="K111" s="229"/>
      <c r="M111" s="195">
        <f t="shared" si="6"/>
        <v>0</v>
      </c>
      <c r="N111" s="195">
        <v>0</v>
      </c>
      <c r="O111" s="197"/>
      <c r="P111" s="230"/>
      <c r="R111" s="192">
        <f t="shared" si="7"/>
        <v>0</v>
      </c>
    </row>
    <row r="112" spans="1:18" x14ac:dyDescent="0.25">
      <c r="A112" s="107"/>
      <c r="B112" s="309"/>
      <c r="C112" s="304">
        <v>48817</v>
      </c>
      <c r="D112" s="212">
        <f t="shared" si="5"/>
        <v>31</v>
      </c>
      <c r="F112" s="189"/>
      <c r="H112" s="198"/>
      <c r="I112" s="199"/>
      <c r="J112" s="198"/>
      <c r="K112" s="229"/>
      <c r="M112" s="195">
        <f t="shared" si="6"/>
        <v>0</v>
      </c>
      <c r="N112" s="195">
        <v>0</v>
      </c>
      <c r="O112" s="197"/>
      <c r="P112" s="230"/>
      <c r="R112" s="192">
        <f t="shared" si="7"/>
        <v>0</v>
      </c>
    </row>
    <row r="113" spans="1:24" x14ac:dyDescent="0.25">
      <c r="A113" s="107"/>
      <c r="B113" s="309"/>
      <c r="C113" s="304">
        <v>48848</v>
      </c>
      <c r="D113" s="212">
        <f t="shared" si="5"/>
        <v>31</v>
      </c>
      <c r="F113" s="189"/>
      <c r="H113" s="198"/>
      <c r="I113" s="199"/>
      <c r="J113" s="198"/>
      <c r="K113" s="229"/>
      <c r="M113" s="195">
        <f t="shared" si="6"/>
        <v>0</v>
      </c>
      <c r="N113" s="195">
        <v>0</v>
      </c>
      <c r="O113" s="197"/>
      <c r="P113" s="230"/>
      <c r="R113" s="192">
        <f t="shared" si="7"/>
        <v>0</v>
      </c>
    </row>
    <row r="114" spans="1:24" x14ac:dyDescent="0.25">
      <c r="A114" s="107"/>
      <c r="B114" s="309"/>
      <c r="C114" s="304">
        <v>48878</v>
      </c>
      <c r="D114" s="212">
        <f t="shared" si="5"/>
        <v>30</v>
      </c>
      <c r="F114" s="189"/>
      <c r="H114" s="198"/>
      <c r="I114" s="199"/>
      <c r="J114" s="198"/>
      <c r="K114" s="229"/>
      <c r="M114" s="195">
        <f t="shared" si="6"/>
        <v>0</v>
      </c>
      <c r="N114" s="195">
        <v>0</v>
      </c>
      <c r="O114" s="197"/>
      <c r="P114" s="230"/>
      <c r="R114" s="192">
        <f t="shared" si="7"/>
        <v>0</v>
      </c>
    </row>
    <row r="115" spans="1:24" x14ac:dyDescent="0.25">
      <c r="A115" s="107"/>
      <c r="B115" s="309"/>
      <c r="C115" s="304">
        <v>48911</v>
      </c>
      <c r="D115" s="212">
        <f t="shared" si="5"/>
        <v>33</v>
      </c>
      <c r="F115" s="189"/>
      <c r="H115" s="198"/>
      <c r="I115" s="199"/>
      <c r="J115" s="198"/>
      <c r="K115" s="229"/>
      <c r="M115" s="195">
        <f t="shared" si="6"/>
        <v>0</v>
      </c>
      <c r="N115" s="195">
        <v>0</v>
      </c>
      <c r="O115" s="197"/>
      <c r="P115" s="230"/>
      <c r="R115" s="192">
        <f t="shared" si="7"/>
        <v>0</v>
      </c>
    </row>
    <row r="116" spans="1:24" ht="13.8" customHeight="1" x14ac:dyDescent="0.25">
      <c r="A116" s="107"/>
      <c r="B116" s="309"/>
      <c r="C116" s="304">
        <v>48941</v>
      </c>
      <c r="D116" s="212">
        <f t="shared" si="5"/>
        <v>30</v>
      </c>
      <c r="F116" s="189"/>
      <c r="H116" s="198"/>
      <c r="I116" s="199"/>
      <c r="J116" s="198"/>
      <c r="K116" s="229"/>
      <c r="M116" s="195">
        <f t="shared" si="6"/>
        <v>0</v>
      </c>
      <c r="N116" s="195">
        <v>0</v>
      </c>
      <c r="O116" s="197"/>
      <c r="P116" s="230"/>
      <c r="R116" s="192">
        <f t="shared" si="7"/>
        <v>0</v>
      </c>
    </row>
    <row r="117" spans="1:24" x14ac:dyDescent="0.25">
      <c r="A117" s="107"/>
      <c r="B117" s="309"/>
      <c r="C117" s="304">
        <v>48970</v>
      </c>
      <c r="D117" s="212">
        <f t="shared" si="5"/>
        <v>29</v>
      </c>
      <c r="F117" s="189"/>
      <c r="H117" s="198"/>
      <c r="I117" s="199"/>
      <c r="J117" s="198"/>
      <c r="K117" s="229"/>
      <c r="M117" s="195">
        <f t="shared" si="6"/>
        <v>0</v>
      </c>
      <c r="N117" s="195">
        <v>0</v>
      </c>
      <c r="O117" s="197"/>
      <c r="P117" s="230"/>
      <c r="R117" s="192">
        <f t="shared" si="7"/>
        <v>0</v>
      </c>
    </row>
    <row r="118" spans="1:24" x14ac:dyDescent="0.25">
      <c r="A118" s="107"/>
      <c r="B118" s="309"/>
      <c r="C118" s="304">
        <v>49002</v>
      </c>
      <c r="D118" s="212">
        <f t="shared" si="5"/>
        <v>32</v>
      </c>
      <c r="F118" s="189"/>
      <c r="H118" s="198"/>
      <c r="I118" s="199"/>
      <c r="J118" s="198"/>
      <c r="K118" s="229"/>
      <c r="M118" s="195">
        <f t="shared" si="6"/>
        <v>0</v>
      </c>
      <c r="N118" s="195">
        <v>0</v>
      </c>
      <c r="O118" s="197"/>
      <c r="P118" s="230"/>
      <c r="R118" s="192">
        <f t="shared" si="7"/>
        <v>0</v>
      </c>
    </row>
    <row r="119" spans="1:24" x14ac:dyDescent="0.25">
      <c r="A119" s="107"/>
      <c r="B119" s="309"/>
      <c r="C119" s="304">
        <v>49030</v>
      </c>
      <c r="D119" s="212">
        <f t="shared" si="5"/>
        <v>28</v>
      </c>
      <c r="F119" s="189"/>
      <c r="H119" s="198"/>
      <c r="I119" s="199"/>
      <c r="J119" s="198"/>
      <c r="K119" s="229"/>
      <c r="M119" s="195">
        <f t="shared" si="6"/>
        <v>0</v>
      </c>
      <c r="N119" s="195">
        <v>0</v>
      </c>
      <c r="O119" s="197"/>
      <c r="P119" s="230"/>
      <c r="R119" s="192">
        <f t="shared" si="7"/>
        <v>0</v>
      </c>
    </row>
    <row r="120" spans="1:24" x14ac:dyDescent="0.25">
      <c r="A120" s="107"/>
      <c r="B120" s="309"/>
      <c r="C120" s="304">
        <v>49060</v>
      </c>
      <c r="D120" s="212">
        <f t="shared" si="5"/>
        <v>30</v>
      </c>
      <c r="F120" s="189"/>
      <c r="H120" s="198"/>
      <c r="I120" s="199"/>
      <c r="J120" s="198"/>
      <c r="K120" s="229"/>
      <c r="M120" s="195">
        <f t="shared" si="6"/>
        <v>0</v>
      </c>
      <c r="N120" s="195">
        <v>0</v>
      </c>
      <c r="O120" s="197"/>
      <c r="P120" s="230"/>
      <c r="R120" s="192">
        <f t="shared" si="7"/>
        <v>0</v>
      </c>
    </row>
    <row r="121" spans="1:24" x14ac:dyDescent="0.25">
      <c r="A121" s="107"/>
      <c r="B121" s="309"/>
      <c r="C121" s="304">
        <v>49090</v>
      </c>
      <c r="D121" s="212">
        <f t="shared" si="5"/>
        <v>30</v>
      </c>
      <c r="F121" s="189"/>
      <c r="H121" s="198"/>
      <c r="I121" s="199"/>
      <c r="J121" s="198"/>
      <c r="K121" s="229"/>
      <c r="M121" s="195">
        <f t="shared" si="6"/>
        <v>0</v>
      </c>
      <c r="N121" s="195">
        <v>0</v>
      </c>
      <c r="O121" s="197"/>
      <c r="P121" s="230"/>
      <c r="R121" s="192">
        <f t="shared" si="7"/>
        <v>0</v>
      </c>
    </row>
    <row r="122" spans="1:24" x14ac:dyDescent="0.25">
      <c r="A122" s="107"/>
      <c r="B122" s="310"/>
      <c r="C122" s="305">
        <v>49122</v>
      </c>
      <c r="D122" s="214">
        <f t="shared" si="5"/>
        <v>32</v>
      </c>
      <c r="F122" s="215"/>
      <c r="H122" s="198"/>
      <c r="I122" s="210"/>
      <c r="J122" s="198"/>
      <c r="K122" s="229"/>
      <c r="M122" s="217">
        <f t="shared" si="6"/>
        <v>0</v>
      </c>
      <c r="N122" s="217">
        <v>0</v>
      </c>
      <c r="O122" s="218"/>
      <c r="P122" s="231"/>
      <c r="R122" s="192">
        <f t="shared" si="7"/>
        <v>0</v>
      </c>
    </row>
    <row r="123" spans="1:24" ht="14.4" x14ac:dyDescent="0.3">
      <c r="A123" s="107"/>
      <c r="B123" s="107"/>
      <c r="C123" s="213"/>
      <c r="D123" s="108"/>
    </row>
    <row r="124" spans="1:24" x14ac:dyDescent="0.25">
      <c r="A124" s="107"/>
      <c r="B124" s="107"/>
      <c r="C124" s="108"/>
      <c r="D124" s="108"/>
      <c r="T124" s="299"/>
      <c r="U124" s="299"/>
      <c r="V124" s="299"/>
      <c r="W124" s="299"/>
      <c r="X124" s="298"/>
    </row>
    <row r="125" spans="1:24" x14ac:dyDescent="0.25">
      <c r="A125" s="107"/>
      <c r="B125" s="107"/>
      <c r="C125" s="108"/>
      <c r="D125" s="108"/>
      <c r="T125" s="299"/>
      <c r="U125" s="299"/>
      <c r="V125" s="299"/>
      <c r="W125" s="299"/>
      <c r="X125" s="298"/>
    </row>
    <row r="126" spans="1:24" x14ac:dyDescent="0.25">
      <c r="A126" s="107"/>
      <c r="B126" s="107"/>
      <c r="C126" s="108"/>
      <c r="D126" s="108"/>
      <c r="T126" s="299"/>
      <c r="U126" s="299"/>
      <c r="V126" s="299"/>
      <c r="W126" s="299"/>
      <c r="X126" s="298"/>
    </row>
    <row r="127" spans="1:24" x14ac:dyDescent="0.25">
      <c r="A127" s="107"/>
      <c r="B127" s="107"/>
      <c r="C127" s="108"/>
      <c r="D127" s="108"/>
      <c r="T127" s="299"/>
      <c r="U127" s="299"/>
      <c r="V127" s="299"/>
      <c r="W127" s="299"/>
      <c r="X127" s="298"/>
    </row>
    <row r="128" spans="1:24" x14ac:dyDescent="0.25">
      <c r="A128" s="107"/>
      <c r="B128" s="107"/>
      <c r="C128" s="108"/>
      <c r="D128" s="108"/>
      <c r="T128" s="299"/>
      <c r="U128" s="299"/>
      <c r="V128" s="299"/>
      <c r="W128" s="299"/>
      <c r="X128" s="298"/>
    </row>
    <row r="129" spans="1:24" ht="13.8" customHeight="1" x14ac:dyDescent="0.25">
      <c r="A129" s="107"/>
      <c r="B129" s="107"/>
      <c r="C129" s="108"/>
      <c r="D129" s="108"/>
      <c r="T129" s="299"/>
      <c r="U129" s="299"/>
      <c r="V129" s="299"/>
      <c r="W129" s="299"/>
      <c r="X129" s="298"/>
    </row>
    <row r="130" spans="1:24" x14ac:dyDescent="0.25">
      <c r="A130" s="107"/>
      <c r="B130" s="107"/>
      <c r="C130" s="108"/>
      <c r="D130" s="108"/>
      <c r="T130" s="299"/>
      <c r="U130" s="299"/>
      <c r="V130" s="299"/>
      <c r="W130" s="299"/>
      <c r="X130" s="298"/>
    </row>
    <row r="131" spans="1:24" x14ac:dyDescent="0.25">
      <c r="A131" s="107"/>
      <c r="B131" s="107"/>
      <c r="C131" s="108"/>
      <c r="D131" s="108"/>
      <c r="T131" s="299"/>
      <c r="U131" s="299"/>
      <c r="V131" s="299"/>
      <c r="W131" s="299"/>
      <c r="X131" s="298"/>
    </row>
    <row r="132" spans="1:24" x14ac:dyDescent="0.25">
      <c r="A132" s="107"/>
      <c r="B132" s="107"/>
      <c r="C132" s="108"/>
      <c r="D132" s="108"/>
      <c r="T132" s="299"/>
      <c r="U132" s="299"/>
      <c r="V132" s="299"/>
      <c r="W132" s="299"/>
      <c r="X132" s="298"/>
    </row>
    <row r="133" spans="1:24" x14ac:dyDescent="0.25">
      <c r="A133" s="107"/>
      <c r="B133" s="107"/>
      <c r="C133" s="108"/>
      <c r="D133" s="108"/>
      <c r="T133" s="299"/>
      <c r="U133" s="299"/>
      <c r="V133" s="299"/>
      <c r="W133" s="299"/>
      <c r="X133" s="298"/>
    </row>
    <row r="134" spans="1:24" x14ac:dyDescent="0.25">
      <c r="A134" s="107"/>
      <c r="B134" s="107"/>
      <c r="C134" s="108"/>
      <c r="D134" s="108"/>
      <c r="T134" s="299"/>
      <c r="U134" s="299"/>
      <c r="V134" s="299"/>
      <c r="W134" s="299"/>
      <c r="X134" s="298"/>
    </row>
    <row r="135" spans="1:24" x14ac:dyDescent="0.25">
      <c r="A135" s="107"/>
      <c r="B135" s="107"/>
      <c r="C135" s="108"/>
      <c r="D135" s="108"/>
      <c r="T135" s="299"/>
      <c r="U135" s="299"/>
      <c r="V135" s="299"/>
      <c r="W135" s="299"/>
      <c r="X135" s="298"/>
    </row>
    <row r="136" spans="1:24" ht="13.8" customHeight="1" x14ac:dyDescent="0.25">
      <c r="A136" s="107"/>
      <c r="B136" s="107"/>
      <c r="C136" s="108"/>
      <c r="D136" s="108"/>
      <c r="T136" s="299"/>
      <c r="U136" s="299"/>
      <c r="V136" s="299"/>
      <c r="W136" s="299"/>
      <c r="X136" s="298"/>
    </row>
    <row r="137" spans="1:24" x14ac:dyDescent="0.25">
      <c r="A137" s="107"/>
      <c r="B137" s="107"/>
      <c r="C137" s="108"/>
      <c r="D137" s="108"/>
      <c r="T137" s="299"/>
      <c r="U137" s="299"/>
      <c r="V137" s="299"/>
      <c r="W137" s="299"/>
      <c r="X137" s="298"/>
    </row>
    <row r="138" spans="1:24" x14ac:dyDescent="0.25">
      <c r="A138" s="107"/>
      <c r="B138" s="107"/>
      <c r="C138" s="108"/>
      <c r="D138" s="108"/>
      <c r="T138" s="299"/>
      <c r="U138" s="299"/>
      <c r="V138" s="299"/>
      <c r="W138" s="299"/>
      <c r="X138" s="298"/>
    </row>
    <row r="139" spans="1:24" x14ac:dyDescent="0.25">
      <c r="A139" s="107"/>
      <c r="B139" s="107"/>
      <c r="C139" s="108"/>
      <c r="D139" s="108"/>
      <c r="T139" s="299"/>
      <c r="U139" s="299"/>
      <c r="V139" s="299"/>
      <c r="W139" s="299"/>
      <c r="X139" s="298"/>
    </row>
    <row r="140" spans="1:24" x14ac:dyDescent="0.25">
      <c r="A140" s="107"/>
      <c r="B140" s="107"/>
      <c r="C140" s="108"/>
      <c r="D140" s="108"/>
      <c r="T140" s="299"/>
      <c r="U140" s="299"/>
      <c r="V140" s="299"/>
      <c r="W140" s="299"/>
      <c r="X140" s="298"/>
    </row>
    <row r="141" spans="1:24" x14ac:dyDescent="0.25">
      <c r="A141" s="107"/>
      <c r="B141" s="107"/>
      <c r="C141" s="108"/>
      <c r="D141" s="108"/>
      <c r="T141" s="299"/>
      <c r="U141" s="299"/>
      <c r="V141" s="299"/>
      <c r="W141" s="299"/>
      <c r="X141" s="298"/>
    </row>
    <row r="142" spans="1:24" ht="13.8" customHeight="1" x14ac:dyDescent="0.25">
      <c r="A142" s="107"/>
      <c r="B142" s="107"/>
      <c r="C142" s="108"/>
      <c r="D142" s="108"/>
      <c r="T142" s="299"/>
      <c r="U142" s="299"/>
      <c r="V142" s="299"/>
      <c r="W142" s="299"/>
      <c r="X142" s="298"/>
    </row>
    <row r="143" spans="1:24" x14ac:dyDescent="0.25">
      <c r="A143" s="107"/>
      <c r="B143" s="107"/>
      <c r="C143" s="108"/>
      <c r="T143" s="299"/>
      <c r="U143" s="299"/>
      <c r="V143" s="299"/>
      <c r="W143" s="299"/>
      <c r="X143" s="298"/>
    </row>
    <row r="144" spans="1:24" x14ac:dyDescent="0.25">
      <c r="A144" s="107"/>
      <c r="B144" s="107"/>
      <c r="C144" s="108"/>
      <c r="T144" s="299"/>
      <c r="U144" s="299"/>
      <c r="V144" s="299"/>
      <c r="W144" s="299"/>
      <c r="X144" s="298"/>
    </row>
    <row r="145" spans="1:24" x14ac:dyDescent="0.25">
      <c r="A145" s="107"/>
      <c r="B145" s="107"/>
      <c r="C145" s="108"/>
      <c r="T145" s="299"/>
      <c r="U145" s="299"/>
      <c r="V145" s="299"/>
      <c r="W145" s="299"/>
      <c r="X145" s="298"/>
    </row>
    <row r="146" spans="1:24" x14ac:dyDescent="0.25">
      <c r="A146" s="107"/>
      <c r="B146" s="107"/>
      <c r="T146" s="299"/>
      <c r="U146" s="299"/>
      <c r="V146" s="299"/>
      <c r="W146" s="299"/>
      <c r="X146" s="298"/>
    </row>
    <row r="147" spans="1:24" x14ac:dyDescent="0.25">
      <c r="A147" s="107"/>
      <c r="B147" s="107"/>
      <c r="T147" s="299"/>
      <c r="U147" s="299"/>
      <c r="V147" s="299"/>
      <c r="W147" s="299"/>
      <c r="X147" s="298"/>
    </row>
    <row r="148" spans="1:24" x14ac:dyDescent="0.25">
      <c r="A148" s="107"/>
      <c r="B148" s="107"/>
      <c r="T148" s="299"/>
      <c r="U148" s="299"/>
      <c r="V148" s="299"/>
      <c r="W148" s="299"/>
      <c r="X148" s="298"/>
    </row>
    <row r="149" spans="1:24" ht="13.8" customHeight="1" x14ac:dyDescent="0.25">
      <c r="A149" s="107"/>
      <c r="B149" s="107"/>
      <c r="T149" s="299"/>
      <c r="U149" s="299"/>
      <c r="V149" s="299"/>
      <c r="W149" s="299"/>
      <c r="X149" s="298"/>
    </row>
    <row r="150" spans="1:24" x14ac:dyDescent="0.25">
      <c r="A150" s="107"/>
      <c r="B150" s="107"/>
      <c r="T150" s="299"/>
      <c r="U150" s="299"/>
      <c r="V150" s="299"/>
      <c r="W150" s="299"/>
      <c r="X150" s="298"/>
    </row>
    <row r="151" spans="1:24" x14ac:dyDescent="0.25">
      <c r="T151" s="299"/>
      <c r="U151" s="299"/>
      <c r="V151" s="299"/>
      <c r="W151" s="299"/>
      <c r="X151" s="298"/>
    </row>
    <row r="152" spans="1:24" x14ac:dyDescent="0.25">
      <c r="T152" s="299"/>
      <c r="U152" s="299"/>
      <c r="V152" s="299"/>
      <c r="W152" s="299"/>
      <c r="X152" s="298"/>
    </row>
    <row r="153" spans="1:24" x14ac:dyDescent="0.25">
      <c r="T153" s="299"/>
      <c r="U153" s="299"/>
      <c r="V153" s="299"/>
      <c r="W153" s="299"/>
      <c r="X153" s="298"/>
    </row>
    <row r="154" spans="1:24" x14ac:dyDescent="0.25">
      <c r="T154" s="299"/>
      <c r="U154" s="299"/>
      <c r="V154" s="299"/>
      <c r="W154" s="299"/>
      <c r="X154" s="298"/>
    </row>
    <row r="155" spans="1:24" x14ac:dyDescent="0.25">
      <c r="T155" s="299"/>
      <c r="U155" s="299"/>
      <c r="V155" s="299"/>
      <c r="W155" s="299"/>
      <c r="X155" s="298"/>
    </row>
    <row r="156" spans="1:24" x14ac:dyDescent="0.25">
      <c r="T156" s="299"/>
      <c r="U156" s="299"/>
      <c r="V156" s="299"/>
      <c r="W156" s="299"/>
      <c r="X156" s="298"/>
    </row>
    <row r="157" spans="1:24" x14ac:dyDescent="0.25">
      <c r="T157" s="299"/>
      <c r="U157" s="299"/>
      <c r="V157" s="299"/>
      <c r="W157" s="299"/>
      <c r="X157" s="298"/>
    </row>
    <row r="158" spans="1:24" x14ac:dyDescent="0.25">
      <c r="T158" s="299"/>
      <c r="U158" s="299"/>
      <c r="V158" s="299"/>
      <c r="W158" s="299"/>
      <c r="X158" s="298"/>
    </row>
    <row r="159" spans="1:24" x14ac:dyDescent="0.25">
      <c r="T159" s="299"/>
      <c r="U159" s="299"/>
      <c r="V159" s="299"/>
      <c r="W159" s="299"/>
      <c r="X159" s="298"/>
    </row>
    <row r="160" spans="1:24" x14ac:dyDescent="0.25">
      <c r="T160" s="299"/>
      <c r="U160" s="299"/>
      <c r="V160" s="299"/>
      <c r="W160" s="299"/>
      <c r="X160" s="298"/>
    </row>
    <row r="161" spans="20:24" x14ac:dyDescent="0.25">
      <c r="T161" s="299"/>
      <c r="U161" s="299"/>
      <c r="V161" s="299"/>
      <c r="W161" s="299"/>
      <c r="X161" s="298"/>
    </row>
    <row r="162" spans="20:24" ht="13.8" customHeight="1" x14ac:dyDescent="0.25">
      <c r="T162" s="299"/>
      <c r="U162" s="299"/>
      <c r="V162" s="299"/>
      <c r="W162" s="299"/>
      <c r="X162" s="298"/>
    </row>
    <row r="163" spans="20:24" x14ac:dyDescent="0.25">
      <c r="T163" s="299"/>
      <c r="U163" s="299"/>
      <c r="V163" s="299"/>
      <c r="W163" s="299"/>
      <c r="X163" s="298"/>
    </row>
    <row r="164" spans="20:24" x14ac:dyDescent="0.25">
      <c r="T164" s="299"/>
      <c r="U164" s="299"/>
      <c r="V164" s="299"/>
      <c r="W164" s="299"/>
      <c r="X164" s="298"/>
    </row>
    <row r="165" spans="20:24" x14ac:dyDescent="0.25">
      <c r="T165" s="299"/>
      <c r="U165" s="299"/>
      <c r="V165" s="299"/>
      <c r="W165" s="299"/>
      <c r="X165" s="298"/>
    </row>
    <row r="166" spans="20:24" x14ac:dyDescent="0.25">
      <c r="T166" s="299"/>
      <c r="U166" s="299"/>
      <c r="V166" s="299"/>
      <c r="W166" s="299"/>
      <c r="X166" s="298"/>
    </row>
    <row r="167" spans="20:24" x14ac:dyDescent="0.25">
      <c r="T167" s="299"/>
      <c r="U167" s="299"/>
      <c r="V167" s="299"/>
      <c r="W167" s="299"/>
      <c r="X167" s="298"/>
    </row>
    <row r="168" spans="20:24" x14ac:dyDescent="0.25">
      <c r="T168" s="299"/>
      <c r="U168" s="299"/>
      <c r="V168" s="299"/>
      <c r="W168" s="299"/>
      <c r="X168" s="298"/>
    </row>
    <row r="169" spans="20:24" x14ac:dyDescent="0.25">
      <c r="T169" s="299"/>
      <c r="U169" s="299"/>
      <c r="V169" s="299"/>
      <c r="W169" s="299"/>
      <c r="X169" s="298"/>
    </row>
    <row r="170" spans="20:24" x14ac:dyDescent="0.25">
      <c r="T170" s="299"/>
      <c r="U170" s="299"/>
      <c r="V170" s="299"/>
      <c r="W170" s="299"/>
      <c r="X170" s="298"/>
    </row>
    <row r="171" spans="20:24" x14ac:dyDescent="0.25">
      <c r="T171" s="299"/>
      <c r="U171" s="299"/>
      <c r="V171" s="299"/>
      <c r="W171" s="299"/>
      <c r="X171" s="298"/>
    </row>
    <row r="172" spans="20:24" x14ac:dyDescent="0.25">
      <c r="T172" s="299"/>
      <c r="U172" s="299"/>
      <c r="V172" s="299"/>
      <c r="W172" s="299"/>
      <c r="X172" s="298"/>
    </row>
    <row r="173" spans="20:24" x14ac:dyDescent="0.25">
      <c r="T173" s="299"/>
      <c r="U173" s="299"/>
      <c r="V173" s="299"/>
      <c r="W173" s="299"/>
      <c r="X173" s="298"/>
    </row>
    <row r="174" spans="20:24" x14ac:dyDescent="0.25">
      <c r="T174" s="299"/>
      <c r="U174" s="299"/>
      <c r="V174" s="299"/>
      <c r="W174" s="299"/>
      <c r="X174" s="298"/>
    </row>
    <row r="175" spans="20:24" ht="13.8" customHeight="1" x14ac:dyDescent="0.25">
      <c r="T175" s="299"/>
      <c r="U175" s="299"/>
      <c r="V175" s="299"/>
      <c r="W175" s="299"/>
      <c r="X175" s="298"/>
    </row>
    <row r="176" spans="20:24" x14ac:dyDescent="0.25">
      <c r="T176" s="299"/>
      <c r="U176" s="299"/>
      <c r="V176" s="299"/>
      <c r="W176" s="299"/>
      <c r="X176" s="298"/>
    </row>
    <row r="177" spans="20:24" x14ac:dyDescent="0.25">
      <c r="T177" s="299"/>
      <c r="U177" s="299"/>
      <c r="V177" s="299"/>
      <c r="W177" s="299"/>
      <c r="X177" s="298"/>
    </row>
    <row r="178" spans="20:24" x14ac:dyDescent="0.25">
      <c r="T178" s="299"/>
      <c r="U178" s="299"/>
      <c r="V178" s="299"/>
      <c r="W178" s="299"/>
      <c r="X178" s="298"/>
    </row>
    <row r="179" spans="20:24" x14ac:dyDescent="0.25">
      <c r="T179" s="299"/>
      <c r="U179" s="299"/>
      <c r="V179" s="299"/>
      <c r="W179" s="299"/>
      <c r="X179" s="298"/>
    </row>
    <row r="180" spans="20:24" x14ac:dyDescent="0.25">
      <c r="T180" s="299"/>
      <c r="U180" s="299"/>
      <c r="V180" s="299"/>
      <c r="W180" s="299"/>
      <c r="X180" s="298"/>
    </row>
    <row r="181" spans="20:24" x14ac:dyDescent="0.25">
      <c r="T181" s="299"/>
      <c r="U181" s="299"/>
      <c r="V181" s="299"/>
      <c r="W181" s="299"/>
      <c r="X181" s="298"/>
    </row>
    <row r="182" spans="20:24" x14ac:dyDescent="0.25">
      <c r="T182" s="299"/>
      <c r="U182" s="299"/>
      <c r="V182" s="299"/>
      <c r="W182" s="299"/>
      <c r="X182" s="298"/>
    </row>
    <row r="183" spans="20:24" x14ac:dyDescent="0.25">
      <c r="T183" s="299"/>
      <c r="U183" s="299"/>
      <c r="V183" s="299"/>
      <c r="W183" s="299"/>
      <c r="X183" s="298"/>
    </row>
    <row r="184" spans="20:24" x14ac:dyDescent="0.25">
      <c r="T184" s="299"/>
      <c r="U184" s="299"/>
      <c r="V184" s="299"/>
      <c r="W184" s="299"/>
      <c r="X184" s="298"/>
    </row>
    <row r="185" spans="20:24" x14ac:dyDescent="0.25">
      <c r="T185" s="299"/>
      <c r="U185" s="299"/>
      <c r="V185" s="299"/>
      <c r="W185" s="299"/>
      <c r="X185" s="298"/>
    </row>
    <row r="186" spans="20:24" x14ac:dyDescent="0.25">
      <c r="T186" s="299"/>
      <c r="U186" s="299"/>
      <c r="V186" s="299"/>
      <c r="W186" s="299"/>
      <c r="X186" s="298"/>
    </row>
    <row r="187" spans="20:24" x14ac:dyDescent="0.25">
      <c r="T187" s="299"/>
      <c r="U187" s="299"/>
      <c r="V187" s="299"/>
      <c r="W187" s="299"/>
      <c r="X187" s="298"/>
    </row>
    <row r="188" spans="20:24" ht="13.8" customHeight="1" x14ac:dyDescent="0.25">
      <c r="T188" s="299"/>
      <c r="U188" s="299"/>
      <c r="V188" s="299"/>
      <c r="W188" s="299"/>
      <c r="X188" s="298"/>
    </row>
    <row r="189" spans="20:24" x14ac:dyDescent="0.25">
      <c r="T189" s="299"/>
      <c r="U189" s="299"/>
      <c r="V189" s="299"/>
      <c r="W189" s="299"/>
      <c r="X189" s="298"/>
    </row>
    <row r="190" spans="20:24" x14ac:dyDescent="0.25">
      <c r="T190" s="299"/>
      <c r="U190" s="299"/>
      <c r="V190" s="299"/>
      <c r="W190" s="299"/>
      <c r="X190" s="298"/>
    </row>
    <row r="191" spans="20:24" x14ac:dyDescent="0.25">
      <c r="T191" s="299"/>
      <c r="U191" s="299"/>
      <c r="V191" s="299"/>
      <c r="W191" s="299"/>
      <c r="X191" s="298"/>
    </row>
    <row r="192" spans="20:24" x14ac:dyDescent="0.25">
      <c r="T192" s="299"/>
      <c r="U192" s="299"/>
      <c r="V192" s="299"/>
      <c r="W192" s="299"/>
      <c r="X192" s="298"/>
    </row>
    <row r="193" spans="20:24" x14ac:dyDescent="0.25">
      <c r="T193" s="299"/>
      <c r="U193" s="299"/>
      <c r="V193" s="299"/>
      <c r="W193" s="299"/>
      <c r="X193" s="298"/>
    </row>
    <row r="194" spans="20:24" x14ac:dyDescent="0.25">
      <c r="T194" s="299"/>
      <c r="U194" s="299"/>
      <c r="V194" s="299"/>
      <c r="W194" s="299"/>
      <c r="X194" s="298"/>
    </row>
    <row r="195" spans="20:24" x14ac:dyDescent="0.25">
      <c r="T195" s="299"/>
      <c r="U195" s="299"/>
      <c r="V195" s="299"/>
      <c r="W195" s="299"/>
      <c r="X195" s="298"/>
    </row>
    <row r="196" spans="20:24" x14ac:dyDescent="0.25">
      <c r="T196" s="299"/>
      <c r="U196" s="299"/>
      <c r="V196" s="299"/>
      <c r="W196" s="299"/>
      <c r="X196" s="298"/>
    </row>
    <row r="197" spans="20:24" x14ac:dyDescent="0.25">
      <c r="T197" s="299"/>
      <c r="U197" s="299"/>
      <c r="V197" s="299"/>
      <c r="W197" s="299"/>
      <c r="X197" s="298"/>
    </row>
    <row r="198" spans="20:24" x14ac:dyDescent="0.25">
      <c r="T198" s="299"/>
      <c r="U198" s="299"/>
      <c r="V198" s="299"/>
      <c r="W198" s="299"/>
      <c r="X198" s="298"/>
    </row>
    <row r="199" spans="20:24" x14ac:dyDescent="0.25">
      <c r="T199" s="299"/>
      <c r="U199" s="299"/>
      <c r="V199" s="299"/>
      <c r="W199" s="299"/>
      <c r="X199" s="298"/>
    </row>
    <row r="200" spans="20:24" x14ac:dyDescent="0.25">
      <c r="T200" s="299"/>
      <c r="U200" s="299"/>
      <c r="V200" s="299"/>
      <c r="W200" s="299"/>
      <c r="X200" s="298"/>
    </row>
    <row r="201" spans="20:24" ht="13.8" customHeight="1" x14ac:dyDescent="0.25">
      <c r="T201" s="299"/>
      <c r="U201" s="299"/>
      <c r="V201" s="299"/>
      <c r="W201" s="299"/>
      <c r="X201" s="298"/>
    </row>
    <row r="202" spans="20:24" x14ac:dyDescent="0.25">
      <c r="T202" s="299"/>
      <c r="U202" s="299"/>
      <c r="V202" s="299"/>
      <c r="W202" s="299"/>
      <c r="X202" s="298"/>
    </row>
    <row r="203" spans="20:24" x14ac:dyDescent="0.25">
      <c r="T203" s="299"/>
      <c r="U203" s="299"/>
      <c r="V203" s="299"/>
      <c r="W203" s="299"/>
      <c r="X203" s="298"/>
    </row>
    <row r="204" spans="20:24" x14ac:dyDescent="0.25">
      <c r="T204" s="299"/>
      <c r="U204" s="299"/>
      <c r="V204" s="299"/>
      <c r="W204" s="299"/>
      <c r="X204" s="298"/>
    </row>
    <row r="205" spans="20:24" x14ac:dyDescent="0.25">
      <c r="T205" s="299"/>
      <c r="U205" s="299"/>
      <c r="V205" s="299"/>
      <c r="W205" s="299"/>
      <c r="X205" s="298"/>
    </row>
    <row r="206" spans="20:24" x14ac:dyDescent="0.25">
      <c r="T206" s="299"/>
      <c r="U206" s="299"/>
      <c r="V206" s="299"/>
      <c r="W206" s="299"/>
      <c r="X206" s="298"/>
    </row>
    <row r="207" spans="20:24" x14ac:dyDescent="0.25">
      <c r="T207" s="299"/>
      <c r="U207" s="299"/>
      <c r="V207" s="299"/>
      <c r="W207" s="299"/>
      <c r="X207" s="298"/>
    </row>
    <row r="208" spans="20:24" x14ac:dyDescent="0.25">
      <c r="T208" s="299"/>
      <c r="U208" s="299"/>
      <c r="V208" s="299"/>
      <c r="W208" s="299"/>
      <c r="X208" s="298"/>
    </row>
    <row r="209" spans="20:24" x14ac:dyDescent="0.25">
      <c r="T209" s="299"/>
      <c r="U209" s="299"/>
      <c r="V209" s="299"/>
      <c r="W209" s="299"/>
      <c r="X209" s="298"/>
    </row>
    <row r="210" spans="20:24" x14ac:dyDescent="0.25">
      <c r="T210" s="299"/>
      <c r="U210" s="299"/>
      <c r="V210" s="299"/>
      <c r="W210" s="299"/>
      <c r="X210" s="298"/>
    </row>
    <row r="211" spans="20:24" x14ac:dyDescent="0.25">
      <c r="T211" s="299"/>
      <c r="U211" s="299"/>
      <c r="V211" s="299"/>
      <c r="W211" s="299"/>
      <c r="X211" s="298"/>
    </row>
    <row r="212" spans="20:24" x14ac:dyDescent="0.25">
      <c r="T212" s="299"/>
      <c r="U212" s="299"/>
      <c r="V212" s="299"/>
      <c r="W212" s="299"/>
      <c r="X212" s="298"/>
    </row>
    <row r="213" spans="20:24" x14ac:dyDescent="0.25">
      <c r="T213" s="299"/>
      <c r="U213" s="299"/>
      <c r="V213" s="299"/>
      <c r="W213" s="299"/>
      <c r="X213" s="298"/>
    </row>
    <row r="214" spans="20:24" ht="13.8" customHeight="1" x14ac:dyDescent="0.25">
      <c r="T214" s="299"/>
      <c r="U214" s="299"/>
      <c r="V214" s="299"/>
      <c r="W214" s="299"/>
      <c r="X214" s="298"/>
    </row>
    <row r="215" spans="20:24" x14ac:dyDescent="0.25">
      <c r="T215" s="299"/>
      <c r="U215" s="299"/>
      <c r="V215" s="299"/>
      <c r="W215" s="299"/>
      <c r="X215" s="298"/>
    </row>
    <row r="216" spans="20:24" x14ac:dyDescent="0.25">
      <c r="T216" s="299"/>
      <c r="U216" s="299"/>
      <c r="V216" s="299"/>
      <c r="W216" s="299"/>
      <c r="X216" s="298"/>
    </row>
    <row r="217" spans="20:24" x14ac:dyDescent="0.25">
      <c r="T217" s="299"/>
      <c r="U217" s="299"/>
      <c r="V217" s="299"/>
      <c r="W217" s="299"/>
      <c r="X217" s="298"/>
    </row>
    <row r="218" spans="20:24" x14ac:dyDescent="0.25">
      <c r="T218" s="299"/>
      <c r="U218" s="299"/>
      <c r="V218" s="299"/>
      <c r="W218" s="299"/>
      <c r="X218" s="298"/>
    </row>
    <row r="219" spans="20:24" x14ac:dyDescent="0.25">
      <c r="T219" s="299"/>
      <c r="U219" s="299"/>
      <c r="V219" s="299"/>
      <c r="W219" s="299"/>
      <c r="X219" s="298"/>
    </row>
    <row r="220" spans="20:24" x14ac:dyDescent="0.25">
      <c r="T220" s="299"/>
      <c r="U220" s="299"/>
      <c r="V220" s="299"/>
      <c r="W220" s="299"/>
      <c r="X220" s="298"/>
    </row>
    <row r="221" spans="20:24" x14ac:dyDescent="0.25">
      <c r="T221" s="299"/>
      <c r="U221" s="299"/>
      <c r="V221" s="299"/>
      <c r="W221" s="299"/>
      <c r="X221" s="298"/>
    </row>
    <row r="222" spans="20:24" x14ac:dyDescent="0.25">
      <c r="T222" s="299"/>
      <c r="U222" s="299"/>
      <c r="V222" s="299"/>
      <c r="W222" s="299"/>
      <c r="X222" s="298"/>
    </row>
    <row r="223" spans="20:24" x14ac:dyDescent="0.25">
      <c r="T223" s="299"/>
      <c r="U223" s="299"/>
      <c r="V223" s="299"/>
      <c r="W223" s="299"/>
      <c r="X223" s="298"/>
    </row>
    <row r="224" spans="20:24" x14ac:dyDescent="0.25">
      <c r="T224" s="299"/>
      <c r="U224" s="299"/>
      <c r="V224" s="299"/>
      <c r="W224" s="299"/>
      <c r="X224" s="298"/>
    </row>
    <row r="225" spans="20:24" x14ac:dyDescent="0.25">
      <c r="T225" s="299"/>
      <c r="U225" s="299"/>
      <c r="V225" s="299"/>
      <c r="W225" s="299"/>
      <c r="X225" s="298"/>
    </row>
    <row r="226" spans="20:24" x14ac:dyDescent="0.25">
      <c r="T226" s="299"/>
      <c r="U226" s="299"/>
      <c r="V226" s="299"/>
      <c r="W226" s="299"/>
      <c r="X226" s="298"/>
    </row>
    <row r="227" spans="20:24" ht="13.8" customHeight="1" x14ac:dyDescent="0.25">
      <c r="T227" s="299"/>
      <c r="U227" s="299"/>
      <c r="V227" s="299"/>
      <c r="W227" s="299"/>
      <c r="X227" s="298"/>
    </row>
    <row r="228" spans="20:24" x14ac:dyDescent="0.25">
      <c r="T228" s="299"/>
      <c r="U228" s="299"/>
      <c r="V228" s="299"/>
      <c r="W228" s="299"/>
      <c r="X228" s="298"/>
    </row>
    <row r="229" spans="20:24" x14ac:dyDescent="0.25">
      <c r="T229" s="299"/>
      <c r="U229" s="299"/>
      <c r="V229" s="299"/>
      <c r="W229" s="299"/>
      <c r="X229" s="298"/>
    </row>
    <row r="230" spans="20:24" x14ac:dyDescent="0.25">
      <c r="T230" s="299"/>
      <c r="U230" s="299"/>
      <c r="V230" s="299"/>
      <c r="W230" s="299"/>
      <c r="X230" s="298"/>
    </row>
    <row r="231" spans="20:24" x14ac:dyDescent="0.25">
      <c r="T231" s="299"/>
      <c r="U231" s="299"/>
      <c r="V231" s="299"/>
      <c r="W231" s="299"/>
      <c r="X231" s="298"/>
    </row>
    <row r="232" spans="20:24" x14ac:dyDescent="0.25">
      <c r="T232" s="299"/>
      <c r="U232" s="299"/>
      <c r="V232" s="299"/>
      <c r="W232" s="299"/>
      <c r="X232" s="298"/>
    </row>
    <row r="233" spans="20:24" x14ac:dyDescent="0.25">
      <c r="T233" s="299"/>
      <c r="U233" s="299"/>
      <c r="V233" s="299"/>
      <c r="W233" s="299"/>
      <c r="X233" s="298"/>
    </row>
    <row r="234" spans="20:24" x14ac:dyDescent="0.25">
      <c r="T234" s="299"/>
      <c r="U234" s="299"/>
      <c r="V234" s="299"/>
      <c r="W234" s="299"/>
      <c r="X234" s="298"/>
    </row>
    <row r="235" spans="20:24" x14ac:dyDescent="0.25">
      <c r="T235" s="299"/>
      <c r="U235" s="299"/>
      <c r="V235" s="299"/>
      <c r="W235" s="299"/>
      <c r="X235" s="298"/>
    </row>
    <row r="236" spans="20:24" x14ac:dyDescent="0.25">
      <c r="T236" s="299"/>
      <c r="U236" s="299"/>
      <c r="V236" s="299"/>
      <c r="W236" s="299"/>
      <c r="X236" s="298"/>
    </row>
    <row r="237" spans="20:24" x14ac:dyDescent="0.25">
      <c r="T237" s="299"/>
      <c r="U237" s="299"/>
      <c r="V237" s="299"/>
      <c r="W237" s="299"/>
      <c r="X237" s="298"/>
    </row>
    <row r="238" spans="20:24" x14ac:dyDescent="0.25">
      <c r="T238" s="299"/>
      <c r="U238" s="299"/>
      <c r="V238" s="299"/>
      <c r="W238" s="299"/>
      <c r="X238" s="298"/>
    </row>
    <row r="239" spans="20:24" x14ac:dyDescent="0.25">
      <c r="T239" s="299"/>
      <c r="U239" s="299"/>
      <c r="V239" s="299"/>
      <c r="W239" s="299"/>
      <c r="X239" s="298"/>
    </row>
    <row r="240" spans="20:24" ht="13.8" customHeight="1" x14ac:dyDescent="0.25">
      <c r="T240" s="299"/>
      <c r="U240" s="299"/>
      <c r="V240" s="299"/>
      <c r="W240" s="299"/>
      <c r="X240" s="298"/>
    </row>
    <row r="241" spans="20:24" x14ac:dyDescent="0.25">
      <c r="T241" s="299"/>
      <c r="U241" s="299"/>
      <c r="V241" s="299"/>
      <c r="W241" s="299"/>
      <c r="X241" s="298"/>
    </row>
    <row r="242" spans="20:24" x14ac:dyDescent="0.25">
      <c r="T242" s="299"/>
      <c r="U242" s="299"/>
      <c r="V242" s="299"/>
      <c r="W242" s="299"/>
      <c r="X242" s="298"/>
    </row>
    <row r="243" spans="20:24" x14ac:dyDescent="0.25">
      <c r="T243" s="299"/>
      <c r="U243" s="299"/>
      <c r="V243" s="299"/>
      <c r="W243" s="299"/>
      <c r="X243" s="298"/>
    </row>
    <row r="244" spans="20:24" x14ac:dyDescent="0.25">
      <c r="T244" s="299"/>
      <c r="U244" s="299"/>
      <c r="V244" s="299"/>
      <c r="W244" s="299"/>
      <c r="X244" s="298"/>
    </row>
    <row r="245" spans="20:24" x14ac:dyDescent="0.25">
      <c r="T245" s="299"/>
      <c r="U245" s="299"/>
      <c r="V245" s="299"/>
      <c r="W245" s="299"/>
      <c r="X245" s="298"/>
    </row>
    <row r="246" spans="20:24" x14ac:dyDescent="0.25">
      <c r="T246" s="299"/>
      <c r="U246" s="299"/>
      <c r="V246" s="299"/>
      <c r="W246" s="299"/>
      <c r="X246" s="298"/>
    </row>
    <row r="247" spans="20:24" x14ac:dyDescent="0.25">
      <c r="T247" s="299"/>
      <c r="U247" s="299"/>
      <c r="V247" s="299"/>
      <c r="W247" s="299"/>
      <c r="X247" s="298"/>
    </row>
    <row r="248" spans="20:24" x14ac:dyDescent="0.25">
      <c r="T248" s="299"/>
      <c r="U248" s="299"/>
      <c r="V248" s="299"/>
      <c r="W248" s="299"/>
      <c r="X248" s="298"/>
    </row>
    <row r="249" spans="20:24" x14ac:dyDescent="0.25">
      <c r="T249" s="299"/>
      <c r="U249" s="299"/>
      <c r="V249" s="299"/>
      <c r="W249" s="299"/>
      <c r="X249" s="298"/>
    </row>
    <row r="250" spans="20:24" x14ac:dyDescent="0.25">
      <c r="T250" s="299"/>
      <c r="U250" s="299"/>
      <c r="V250" s="299"/>
      <c r="W250" s="299"/>
      <c r="X250" s="298"/>
    </row>
    <row r="251" spans="20:24" x14ac:dyDescent="0.25">
      <c r="T251" s="299"/>
      <c r="U251" s="299"/>
      <c r="V251" s="299"/>
      <c r="W251" s="299"/>
      <c r="X251" s="298"/>
    </row>
    <row r="252" spans="20:24" x14ac:dyDescent="0.25">
      <c r="T252" s="299"/>
      <c r="U252" s="299"/>
      <c r="V252" s="299"/>
      <c r="W252" s="299"/>
      <c r="X252" s="298"/>
    </row>
    <row r="253" spans="20:24" ht="13.8" customHeight="1" x14ac:dyDescent="0.25">
      <c r="T253" s="299"/>
      <c r="U253" s="299"/>
      <c r="V253" s="299"/>
      <c r="W253" s="299"/>
      <c r="X253" s="298"/>
    </row>
    <row r="254" spans="20:24" x14ac:dyDescent="0.25">
      <c r="T254" s="299"/>
      <c r="U254" s="299"/>
      <c r="V254" s="299"/>
      <c r="W254" s="299"/>
      <c r="X254" s="298"/>
    </row>
    <row r="255" spans="20:24" x14ac:dyDescent="0.25">
      <c r="T255" s="299"/>
      <c r="U255" s="299"/>
      <c r="V255" s="299"/>
      <c r="W255" s="299"/>
      <c r="X255" s="298"/>
    </row>
  </sheetData>
  <dataValidations count="1">
    <dataValidation allowBlank="1" showErrorMessage="1" promptTitle="Entrer Taux CORRA" prompt="Taux CORRA composé pour la période" sqref="F6:F122" xr:uid="{10F1E442-12D1-4B73-AC11-4185A0B29818}"/>
  </dataValidations>
  <pageMargins left="0.25" right="0.25" top="0.75" bottom="0.75" header="0.3" footer="0.3"/>
  <pageSetup scale="52" orientation="portrait" r:id="rId1"/>
  <headerFooter>
    <oddFooter>&amp;L&amp;1#&amp;"Calibri"&amp;10&amp;K000000Internal</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CA320-B9E0-4BA0-BB38-D86E9C1D2DD7}">
  <sheetPr>
    <pageSetUpPr fitToPage="1"/>
  </sheetPr>
  <dimension ref="A1:P23"/>
  <sheetViews>
    <sheetView showGridLines="0" zoomScaleNormal="100" workbookViewId="0">
      <selection activeCell="G22" sqref="G22"/>
    </sheetView>
  </sheetViews>
  <sheetFormatPr baseColWidth="10" defaultColWidth="9.109375" defaultRowHeight="13.2" x14ac:dyDescent="0.25"/>
  <cols>
    <col min="1" max="1" width="4" style="37" customWidth="1"/>
    <col min="2" max="2" width="33.44140625" style="39" bestFit="1" customWidth="1"/>
    <col min="3" max="4" width="14.33203125" style="39" bestFit="1" customWidth="1"/>
    <col min="5" max="5" width="16.6640625" style="39" customWidth="1"/>
    <col min="6" max="9" width="14.6640625" style="39" customWidth="1"/>
    <col min="10" max="10" width="15.33203125" style="39" bestFit="1" customWidth="1"/>
    <col min="11" max="11" width="16.21875" style="39" customWidth="1"/>
    <col min="12" max="12" width="15.88671875" style="83" customWidth="1"/>
    <col min="13" max="14" width="15.44140625" style="39" customWidth="1"/>
    <col min="15" max="15" width="14.5546875" style="39" bestFit="1" customWidth="1"/>
    <col min="16" max="16" width="17.44140625" style="39" customWidth="1"/>
    <col min="17" max="17" width="30.44140625" style="39" bestFit="1" customWidth="1"/>
    <col min="18" max="18" width="19" style="39" customWidth="1"/>
    <col min="19" max="19" width="16.33203125" style="39" customWidth="1"/>
    <col min="20" max="20" width="14.5546875" style="39" customWidth="1"/>
    <col min="21" max="21" width="14.5546875" style="39" bestFit="1" customWidth="1"/>
    <col min="22" max="22" width="17.6640625" style="39" customWidth="1"/>
    <col min="23" max="30" width="14.88671875" style="39" customWidth="1"/>
    <col min="31" max="31" width="6.33203125" style="39" customWidth="1"/>
    <col min="32" max="32" width="9.33203125" style="39" bestFit="1" customWidth="1"/>
    <col min="33" max="33" width="10.6640625" style="39" bestFit="1" customWidth="1"/>
    <col min="34" max="34" width="10" style="39" customWidth="1"/>
    <col min="35" max="35" width="11.88671875" style="39" customWidth="1"/>
    <col min="36" max="36" width="10.6640625" style="39" customWidth="1"/>
    <col min="37" max="37" width="11.33203125" style="39" customWidth="1"/>
    <col min="38" max="38" width="9.44140625" style="39" bestFit="1" customWidth="1"/>
    <col min="39" max="39" width="11" style="39" bestFit="1" customWidth="1"/>
    <col min="40" max="40" width="9.109375" style="39"/>
    <col min="41" max="41" width="11.109375" style="39" bestFit="1" customWidth="1"/>
    <col min="42" max="42" width="11.5546875" style="39" bestFit="1" customWidth="1"/>
    <col min="43" max="43" width="9.109375" style="39"/>
    <col min="44" max="44" width="9.109375" style="39" customWidth="1"/>
    <col min="45" max="45" width="30.44140625" style="39" bestFit="1" customWidth="1"/>
    <col min="46" max="46" width="14" style="39" bestFit="1" customWidth="1"/>
    <col min="47" max="47" width="16.33203125" style="39" customWidth="1"/>
    <col min="48" max="48" width="14.44140625" style="39" customWidth="1"/>
    <col min="49" max="49" width="16.33203125" style="39" bestFit="1" customWidth="1"/>
    <col min="50" max="50" width="15.88671875" style="39" customWidth="1"/>
    <col min="51" max="54" width="15.21875" style="39" customWidth="1"/>
    <col min="55" max="55" width="4.21875" style="39" customWidth="1"/>
    <col min="56" max="56" width="9.33203125" style="39" bestFit="1" customWidth="1"/>
    <col min="57" max="57" width="10.6640625" style="39" bestFit="1" customWidth="1"/>
    <col min="58" max="58" width="9.88671875" style="39" customWidth="1"/>
    <col min="59" max="59" width="9.109375" style="39" customWidth="1"/>
    <col min="60" max="60" width="14.5546875" style="39" bestFit="1" customWidth="1"/>
    <col min="61" max="61" width="19" style="39" bestFit="1" customWidth="1"/>
    <col min="62" max="63" width="14.5546875" style="39" bestFit="1" customWidth="1"/>
    <col min="64" max="64" width="9.109375" style="39" customWidth="1"/>
    <col min="65" max="16384" width="9.109375" style="39"/>
  </cols>
  <sheetData>
    <row r="1" spans="2:16" ht="16.8" customHeight="1" x14ac:dyDescent="0.25">
      <c r="B1" s="38"/>
      <c r="C1" s="38"/>
      <c r="D1" s="38"/>
      <c r="L1" s="39"/>
    </row>
    <row r="2" spans="2:16" x14ac:dyDescent="0.25">
      <c r="B2" s="169" t="s">
        <v>119</v>
      </c>
      <c r="C2" s="170"/>
      <c r="D2" s="170"/>
      <c r="E2" s="170"/>
      <c r="F2" s="170"/>
      <c r="G2" s="170"/>
      <c r="H2" s="170"/>
      <c r="I2" s="170"/>
      <c r="J2" s="170"/>
      <c r="L2" s="39"/>
    </row>
    <row r="3" spans="2:16" x14ac:dyDescent="0.25">
      <c r="B3" s="155"/>
      <c r="C3" s="173" t="s">
        <v>20</v>
      </c>
      <c r="D3" s="174"/>
      <c r="E3" s="174"/>
      <c r="F3" s="174"/>
      <c r="G3" s="334"/>
      <c r="H3" s="334"/>
      <c r="I3" s="334"/>
      <c r="J3" s="179"/>
      <c r="L3" s="39"/>
    </row>
    <row r="4" spans="2:16" x14ac:dyDescent="0.25">
      <c r="B4" s="155" t="s">
        <v>108</v>
      </c>
      <c r="C4" s="167" t="s">
        <v>98</v>
      </c>
      <c r="D4" s="167"/>
      <c r="E4" s="165" t="s">
        <v>99</v>
      </c>
      <c r="F4" s="166" t="s">
        <v>100</v>
      </c>
      <c r="G4" s="167" t="s">
        <v>98</v>
      </c>
      <c r="H4" s="165" t="s">
        <v>99</v>
      </c>
      <c r="I4" s="166" t="s">
        <v>100</v>
      </c>
      <c r="J4" s="177"/>
      <c r="L4" s="39"/>
    </row>
    <row r="5" spans="2:16" ht="12" customHeight="1" x14ac:dyDescent="0.25">
      <c r="B5" s="157" t="s">
        <v>25</v>
      </c>
      <c r="C5" s="158" t="s">
        <v>102</v>
      </c>
      <c r="D5" s="158" t="s">
        <v>255</v>
      </c>
      <c r="E5" s="158" t="s">
        <v>255</v>
      </c>
      <c r="F5" s="158" t="s">
        <v>255</v>
      </c>
      <c r="G5" s="158" t="s">
        <v>256</v>
      </c>
      <c r="H5" s="158" t="s">
        <v>256</v>
      </c>
      <c r="I5" s="158" t="s">
        <v>256</v>
      </c>
      <c r="J5" s="158" t="s">
        <v>59</v>
      </c>
      <c r="K5" s="178"/>
      <c r="L5" s="49"/>
      <c r="M5" s="49"/>
      <c r="N5" s="49"/>
      <c r="O5" s="49"/>
    </row>
    <row r="6" spans="2:16" x14ac:dyDescent="0.25">
      <c r="B6" s="155" t="s">
        <v>17</v>
      </c>
      <c r="C6" s="156">
        <v>45499</v>
      </c>
      <c r="D6" s="156">
        <v>45499</v>
      </c>
      <c r="E6" s="156">
        <v>45517</v>
      </c>
      <c r="F6" s="156">
        <v>45524</v>
      </c>
      <c r="G6" s="156">
        <v>45644</v>
      </c>
      <c r="H6" s="156">
        <v>45674</v>
      </c>
      <c r="I6" s="156">
        <v>45674</v>
      </c>
      <c r="J6" s="156"/>
      <c r="K6" s="52"/>
      <c r="L6" s="52"/>
      <c r="M6" s="52"/>
      <c r="N6" s="52"/>
      <c r="O6" s="52"/>
      <c r="P6" s="52"/>
    </row>
    <row r="7" spans="2:16" x14ac:dyDescent="0.25">
      <c r="B7" s="155" t="s">
        <v>18</v>
      </c>
      <c r="C7" s="156">
        <v>49151</v>
      </c>
      <c r="D7" s="156">
        <v>47325</v>
      </c>
      <c r="E7" s="156">
        <v>47325</v>
      </c>
      <c r="F7" s="156">
        <v>46594</v>
      </c>
      <c r="G7" s="156">
        <v>46385</v>
      </c>
      <c r="H7" s="156">
        <v>46413</v>
      </c>
      <c r="I7" s="156">
        <v>46413</v>
      </c>
      <c r="J7" s="156"/>
      <c r="L7" s="39"/>
    </row>
    <row r="8" spans="2:16" x14ac:dyDescent="0.25">
      <c r="B8" s="155" t="s">
        <v>19</v>
      </c>
      <c r="C8" s="156">
        <v>46599</v>
      </c>
      <c r="D8" s="156">
        <v>46599</v>
      </c>
      <c r="E8" s="156">
        <v>46599</v>
      </c>
      <c r="F8" s="156">
        <v>46599</v>
      </c>
      <c r="G8" s="156">
        <v>46599</v>
      </c>
      <c r="H8" s="156">
        <v>46599</v>
      </c>
      <c r="I8" s="156">
        <v>46599</v>
      </c>
      <c r="J8" s="156"/>
      <c r="L8" s="39"/>
    </row>
    <row r="9" spans="2:16" x14ac:dyDescent="0.25">
      <c r="B9" s="155" t="s">
        <v>69</v>
      </c>
      <c r="C9" s="159">
        <v>30000000</v>
      </c>
      <c r="D9" s="159">
        <v>45000000</v>
      </c>
      <c r="E9" s="159">
        <v>30000000</v>
      </c>
      <c r="F9" s="159">
        <v>15000000</v>
      </c>
      <c r="G9" s="159">
        <v>5700000</v>
      </c>
      <c r="H9" s="159">
        <v>3800000</v>
      </c>
      <c r="I9" s="159">
        <v>1900000</v>
      </c>
      <c r="J9" s="159">
        <f>SUM(C9:I9)</f>
        <v>131400000</v>
      </c>
      <c r="L9" s="39"/>
    </row>
    <row r="10" spans="2:16" x14ac:dyDescent="0.25">
      <c r="B10" s="155" t="s">
        <v>70</v>
      </c>
      <c r="C10" s="159">
        <v>30000000</v>
      </c>
      <c r="D10" s="159">
        <f>'BNC-A'!H21</f>
        <v>44707693.280000001</v>
      </c>
      <c r="E10" s="159">
        <f>'TD-A'!I21</f>
        <v>29737478</v>
      </c>
      <c r="F10" s="159">
        <f>'BMO-A'!G13</f>
        <v>14928842.609999999</v>
      </c>
      <c r="G10" s="159">
        <f>'BNC-B'!E17</f>
        <v>5700000</v>
      </c>
      <c r="H10" s="159">
        <f>'TD-B'!E16</f>
        <v>3800000</v>
      </c>
      <c r="I10" s="159">
        <f>'BMO-B'!G10</f>
        <v>1900000</v>
      </c>
      <c r="J10" s="159">
        <f>SUM(C10:I10)</f>
        <v>130774013.89</v>
      </c>
      <c r="L10" s="39"/>
    </row>
    <row r="11" spans="2:16" x14ac:dyDescent="0.25">
      <c r="B11" s="155" t="s">
        <v>238</v>
      </c>
      <c r="C11" s="159">
        <v>150611.89000000001</v>
      </c>
      <c r="D11" s="159">
        <v>318054.81</v>
      </c>
      <c r="E11" s="159">
        <v>-195510.96</v>
      </c>
      <c r="F11" s="159">
        <v>-168757.38</v>
      </c>
      <c r="G11" s="159"/>
      <c r="H11" s="159"/>
      <c r="I11" s="159"/>
      <c r="J11" s="159">
        <f>SUM(C11:I11)</f>
        <v>104398.35999999999</v>
      </c>
      <c r="L11" s="39"/>
    </row>
    <row r="12" spans="2:16" x14ac:dyDescent="0.25">
      <c r="B12" s="155" t="s">
        <v>11</v>
      </c>
      <c r="C12" s="160" t="s">
        <v>109</v>
      </c>
      <c r="D12" s="160">
        <v>300</v>
      </c>
      <c r="E12" s="160">
        <v>300</v>
      </c>
      <c r="F12" s="160">
        <v>300</v>
      </c>
      <c r="G12" s="160">
        <v>300</v>
      </c>
      <c r="H12" s="160">
        <v>300</v>
      </c>
      <c r="I12" s="160">
        <v>300</v>
      </c>
      <c r="J12" s="160"/>
      <c r="L12" s="39"/>
    </row>
    <row r="13" spans="2:16" x14ac:dyDescent="0.25">
      <c r="B13" s="155" t="s">
        <v>72</v>
      </c>
      <c r="C13" s="161">
        <v>0.02</v>
      </c>
      <c r="D13" s="161">
        <v>0.02</v>
      </c>
      <c r="E13" s="161">
        <v>0.02</v>
      </c>
      <c r="F13" s="161">
        <v>0.02</v>
      </c>
      <c r="G13" s="161">
        <v>0.02</v>
      </c>
      <c r="H13" s="161">
        <v>0.02</v>
      </c>
      <c r="I13" s="161">
        <v>0.02</v>
      </c>
      <c r="J13" s="160"/>
      <c r="L13" s="39"/>
    </row>
    <row r="14" spans="2:16" x14ac:dyDescent="0.25">
      <c r="B14" s="155" t="s">
        <v>16</v>
      </c>
      <c r="C14" s="162">
        <v>2.9547000000000002E-3</v>
      </c>
      <c r="D14" s="162">
        <v>2.9547000000000002E-3</v>
      </c>
      <c r="E14" s="162">
        <v>2.9547000000000002E-3</v>
      </c>
      <c r="F14" s="162">
        <v>2.9547000000000002E-3</v>
      </c>
      <c r="G14" s="162">
        <v>2.9547000000000002E-3</v>
      </c>
      <c r="H14" s="162">
        <v>2.9547000000000002E-3</v>
      </c>
      <c r="I14" s="162">
        <v>2.9547000000000002E-3</v>
      </c>
      <c r="J14" s="160"/>
      <c r="L14" s="39"/>
    </row>
    <row r="15" spans="2:16" x14ac:dyDescent="0.25">
      <c r="B15" s="155" t="s">
        <v>12</v>
      </c>
      <c r="C15" s="161">
        <v>2.87E-2</v>
      </c>
      <c r="D15" s="161">
        <v>2.7799999999999998E-2</v>
      </c>
      <c r="E15" s="161">
        <v>2.4799999999999999E-2</v>
      </c>
      <c r="F15" s="161">
        <v>3.1300000000000001E-2</v>
      </c>
      <c r="G15" s="161">
        <v>2.9175E-2</v>
      </c>
      <c r="H15" s="161">
        <f>'[1]TD-B'!E3</f>
        <v>2.9045299999999996E-2</v>
      </c>
      <c r="I15" s="161">
        <f>'[1]BMO-B'!C3</f>
        <v>0.03</v>
      </c>
      <c r="J15" s="160"/>
      <c r="L15" s="39"/>
    </row>
    <row r="16" spans="2:16" x14ac:dyDescent="0.25">
      <c r="B16" s="155" t="s">
        <v>110</v>
      </c>
      <c r="C16" s="161">
        <f>SUM(C13:C15)</f>
        <v>5.1654699999999998E-2</v>
      </c>
      <c r="D16" s="161">
        <f t="shared" ref="D16:I16" si="0">SUM(D13:D15)</f>
        <v>5.07547E-2</v>
      </c>
      <c r="E16" s="161">
        <f t="shared" si="0"/>
        <v>4.7754699999999997E-2</v>
      </c>
      <c r="F16" s="161">
        <f t="shared" si="0"/>
        <v>5.4254700000000003E-2</v>
      </c>
      <c r="G16" s="161">
        <f t="shared" si="0"/>
        <v>5.2129700000000001E-2</v>
      </c>
      <c r="H16" s="161">
        <f t="shared" si="0"/>
        <v>5.1999999999999998E-2</v>
      </c>
      <c r="I16" s="161">
        <f t="shared" si="0"/>
        <v>5.29547E-2</v>
      </c>
      <c r="J16" s="160"/>
      <c r="L16" s="39"/>
    </row>
    <row r="17" spans="1:15" x14ac:dyDescent="0.25">
      <c r="B17" s="155" t="s">
        <v>239</v>
      </c>
      <c r="C17" s="335" t="s">
        <v>21</v>
      </c>
      <c r="D17" s="336"/>
      <c r="E17" s="336"/>
      <c r="F17" s="337"/>
      <c r="G17" s="336"/>
      <c r="H17" s="336"/>
      <c r="I17" s="336"/>
      <c r="J17" s="338"/>
      <c r="L17" s="39"/>
    </row>
    <row r="18" spans="1:15" x14ac:dyDescent="0.25">
      <c r="C18" s="44"/>
      <c r="D18" s="149"/>
      <c r="E18" s="58"/>
      <c r="L18" s="39"/>
    </row>
    <row r="19" spans="1:15" x14ac:dyDescent="0.25">
      <c r="C19" s="44"/>
      <c r="D19" s="54"/>
      <c r="J19" s="54"/>
      <c r="K19" s="54"/>
      <c r="L19" s="39"/>
      <c r="M19" s="44"/>
      <c r="N19" s="44"/>
      <c r="O19" s="44"/>
    </row>
    <row r="20" spans="1:15" x14ac:dyDescent="0.25">
      <c r="J20" s="54"/>
      <c r="K20" s="54"/>
      <c r="L20" s="39"/>
      <c r="M20" s="44"/>
      <c r="N20" s="44"/>
      <c r="O20" s="44"/>
    </row>
    <row r="21" spans="1:15" x14ac:dyDescent="0.25">
      <c r="A21" s="107"/>
    </row>
    <row r="22" spans="1:15" x14ac:dyDescent="0.25">
      <c r="A22" s="107"/>
    </row>
    <row r="23" spans="1:15" x14ac:dyDescent="0.25">
      <c r="A23" s="107"/>
    </row>
  </sheetData>
  <pageMargins left="0.25" right="0.25" top="0.75" bottom="0.75" header="0.3" footer="0.3"/>
  <pageSetup scale="19" orientation="portrait" r:id="rId1"/>
  <headerFooter>
    <oddFooter>&amp;L&amp;1#&amp;"Calibri"&amp;10&amp;K000000Internal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8A582-2CBC-4D7B-BA30-F016616C639D}">
  <sheetPr>
    <pageSetUpPr fitToPage="1"/>
  </sheetPr>
  <dimension ref="A1:S166"/>
  <sheetViews>
    <sheetView showGridLines="0" zoomScale="85" zoomScaleNormal="85" workbookViewId="0">
      <pane xSplit="2" ySplit="16" topLeftCell="C17" activePane="bottomRight" state="frozen"/>
      <selection pane="topRight" activeCell="C1" sqref="C1"/>
      <selection pane="bottomLeft" activeCell="A13" sqref="A13"/>
      <selection pane="bottomRight" activeCell="R21" sqref="R21"/>
    </sheetView>
  </sheetViews>
  <sheetFormatPr baseColWidth="10" defaultColWidth="9.21875" defaultRowHeight="14.4" x14ac:dyDescent="0.3"/>
  <cols>
    <col min="1" max="1" width="38.77734375" style="8" customWidth="1"/>
    <col min="2" max="2" width="32.109375" style="8" customWidth="1"/>
    <col min="3" max="4" width="23.77734375" style="8" customWidth="1"/>
    <col min="5" max="10" width="18.21875" style="8" customWidth="1"/>
    <col min="11" max="11" width="12.88671875" style="9" bestFit="1" customWidth="1"/>
    <col min="12" max="12" width="8.6640625" style="9" bestFit="1" customWidth="1"/>
    <col min="13" max="14" width="15.33203125" style="9" bestFit="1" customWidth="1"/>
    <col min="15" max="15" width="12.21875" style="9" bestFit="1" customWidth="1"/>
    <col min="16" max="16" width="15" style="9" bestFit="1" customWidth="1"/>
    <col min="17" max="18" width="9.21875" style="9"/>
    <col min="19" max="19" width="11.6640625" style="9" bestFit="1" customWidth="1"/>
    <col min="20" max="16384" width="9.21875" style="9"/>
  </cols>
  <sheetData>
    <row r="1" spans="1:14" ht="47.25" customHeight="1" x14ac:dyDescent="0.3"/>
    <row r="2" spans="1:14" ht="16.2" x14ac:dyDescent="0.35">
      <c r="A2" s="419" t="s">
        <v>4</v>
      </c>
      <c r="B2" s="420"/>
      <c r="C2" s="421"/>
    </row>
    <row r="3" spans="1:14" x14ac:dyDescent="0.3">
      <c r="A3" s="10" t="s">
        <v>9</v>
      </c>
      <c r="B3" s="417" t="s">
        <v>20</v>
      </c>
      <c r="C3" s="418"/>
      <c r="E3" s="11"/>
      <c r="F3" s="11"/>
      <c r="G3" s="11"/>
      <c r="H3" s="11"/>
      <c r="I3" s="11"/>
      <c r="J3" s="11"/>
    </row>
    <row r="4" spans="1:14" x14ac:dyDescent="0.3">
      <c r="A4" s="34" t="s">
        <v>25</v>
      </c>
      <c r="B4" s="35" t="s">
        <v>23</v>
      </c>
      <c r="C4" s="35" t="s">
        <v>24</v>
      </c>
    </row>
    <row r="5" spans="1:14" x14ac:dyDescent="0.3">
      <c r="A5" s="10" t="s">
        <v>17</v>
      </c>
      <c r="B5" s="1">
        <v>45499</v>
      </c>
      <c r="C5" s="1">
        <v>45499</v>
      </c>
    </row>
    <row r="6" spans="1:14" x14ac:dyDescent="0.3">
      <c r="A6" s="10" t="s">
        <v>18</v>
      </c>
      <c r="B6" s="1">
        <v>49151</v>
      </c>
      <c r="C6" s="1">
        <v>47325</v>
      </c>
      <c r="D6" s="26"/>
    </row>
    <row r="7" spans="1:14" x14ac:dyDescent="0.3">
      <c r="A7" s="10" t="s">
        <v>19</v>
      </c>
      <c r="B7" s="1">
        <v>46599</v>
      </c>
      <c r="C7" s="1">
        <v>46599</v>
      </c>
      <c r="D7" s="26"/>
      <c r="J7" s="220"/>
    </row>
    <row r="8" spans="1:14" x14ac:dyDescent="0.3">
      <c r="A8" s="10" t="s">
        <v>10</v>
      </c>
      <c r="B8" s="2">
        <v>30000000</v>
      </c>
      <c r="C8" s="2">
        <v>45000000</v>
      </c>
      <c r="D8" s="27"/>
      <c r="E8" s="219"/>
      <c r="F8" s="219"/>
    </row>
    <row r="9" spans="1:14" x14ac:dyDescent="0.3">
      <c r="A9" s="10" t="s">
        <v>11</v>
      </c>
      <c r="B9" s="6">
        <v>300</v>
      </c>
      <c r="C9" s="6">
        <v>300</v>
      </c>
      <c r="D9" s="28"/>
      <c r="E9" s="12"/>
      <c r="F9" s="12"/>
      <c r="G9" s="12"/>
      <c r="H9" s="12"/>
      <c r="I9" s="12"/>
      <c r="J9" s="12"/>
    </row>
    <row r="10" spans="1:14" x14ac:dyDescent="0.3">
      <c r="A10" s="10" t="s">
        <v>15</v>
      </c>
      <c r="B10" s="3">
        <v>0.02</v>
      </c>
      <c r="C10" s="3">
        <v>0.02</v>
      </c>
      <c r="D10" s="29"/>
      <c r="E10" s="12"/>
      <c r="F10" s="12"/>
      <c r="G10" s="12"/>
      <c r="H10" s="12"/>
      <c r="I10" s="12"/>
      <c r="J10" s="12"/>
    </row>
    <row r="11" spans="1:14" x14ac:dyDescent="0.3">
      <c r="A11" s="10" t="s">
        <v>16</v>
      </c>
      <c r="B11" s="7">
        <v>2.9547000000000002E-3</v>
      </c>
      <c r="C11" s="7">
        <v>2.9547000000000002E-3</v>
      </c>
      <c r="D11" s="30"/>
      <c r="E11" s="241"/>
      <c r="F11" s="12"/>
      <c r="G11" s="12"/>
      <c r="H11" s="12"/>
      <c r="I11" s="12"/>
      <c r="J11" s="12"/>
    </row>
    <row r="12" spans="1:14" x14ac:dyDescent="0.3">
      <c r="A12" s="10" t="s">
        <v>12</v>
      </c>
      <c r="B12" s="3">
        <v>2.87E-2</v>
      </c>
      <c r="C12" s="3">
        <v>2.7799999999999998E-2</v>
      </c>
      <c r="D12" s="29"/>
      <c r="E12" s="12"/>
      <c r="F12" s="12"/>
      <c r="G12" s="12"/>
      <c r="H12" s="12"/>
      <c r="I12" s="12"/>
      <c r="J12" s="12"/>
    </row>
    <row r="13" spans="1:14" x14ac:dyDescent="0.3">
      <c r="A13" s="10" t="s">
        <v>13</v>
      </c>
      <c r="B13" s="413" t="s">
        <v>21</v>
      </c>
      <c r="C13" s="414"/>
      <c r="D13" s="31"/>
      <c r="E13" s="12"/>
      <c r="F13" s="12"/>
      <c r="G13" s="12"/>
      <c r="H13" s="12"/>
      <c r="I13" s="12"/>
      <c r="J13" s="12"/>
    </row>
    <row r="14" spans="1:14" x14ac:dyDescent="0.3">
      <c r="A14" s="10" t="s">
        <v>28</v>
      </c>
      <c r="B14" s="415" t="s">
        <v>22</v>
      </c>
      <c r="C14" s="416"/>
      <c r="D14" s="29"/>
      <c r="E14" s="12"/>
      <c r="F14" s="12"/>
      <c r="G14" s="12"/>
      <c r="H14" s="12"/>
      <c r="I14" s="12"/>
      <c r="J14" s="12"/>
    </row>
    <row r="15" spans="1:14" ht="14.55" customHeight="1" x14ac:dyDescent="0.3">
      <c r="A15" s="427" t="s">
        <v>14</v>
      </c>
      <c r="B15" s="427"/>
      <c r="C15" s="12"/>
      <c r="D15" s="12"/>
      <c r="E15" s="422" t="s">
        <v>26</v>
      </c>
      <c r="F15" s="423"/>
      <c r="G15" s="424"/>
      <c r="H15" s="425" t="s">
        <v>27</v>
      </c>
      <c r="I15" s="426"/>
      <c r="J15" s="426"/>
      <c r="K15" s="272" t="s">
        <v>227</v>
      </c>
      <c r="L15" s="271"/>
      <c r="M15" s="271"/>
      <c r="N15" s="272"/>
    </row>
    <row r="16" spans="1:14" s="16" customFormat="1" ht="39" customHeight="1" x14ac:dyDescent="0.25">
      <c r="A16" s="13" t="s">
        <v>0</v>
      </c>
      <c r="B16" s="14" t="s">
        <v>1</v>
      </c>
      <c r="C16" s="14" t="s">
        <v>3</v>
      </c>
      <c r="D16" s="15" t="str">
        <f>"Taux "&amp;B13</f>
        <v>Taux CORRA journalier composé</v>
      </c>
      <c r="E16" s="14" t="s">
        <v>10</v>
      </c>
      <c r="F16" s="15" t="s">
        <v>2</v>
      </c>
      <c r="G16" s="15" t="s">
        <v>8</v>
      </c>
      <c r="H16" s="15" t="s">
        <v>10</v>
      </c>
      <c r="I16" s="15" t="s">
        <v>2</v>
      </c>
      <c r="J16" s="15" t="s">
        <v>8</v>
      </c>
      <c r="K16" s="13" t="s">
        <v>45</v>
      </c>
      <c r="L16" s="14" t="s">
        <v>3</v>
      </c>
      <c r="M16" s="15" t="s">
        <v>228</v>
      </c>
      <c r="N16" s="15" t="s">
        <v>229</v>
      </c>
    </row>
    <row r="17" spans="1:19" x14ac:dyDescent="0.3">
      <c r="A17" s="17">
        <v>45499</v>
      </c>
      <c r="B17" s="17">
        <f>IF(A18="","",A18)</f>
        <v>45530</v>
      </c>
      <c r="C17" s="18">
        <f>IF(A18="","",B17-A17)</f>
        <v>31</v>
      </c>
      <c r="D17" s="250">
        <v>4.5899200000000001E-2</v>
      </c>
      <c r="E17" s="19">
        <v>30000000</v>
      </c>
      <c r="F17" s="20">
        <f>IF(E17="","",E17-E18)</f>
        <v>0</v>
      </c>
      <c r="G17" s="20">
        <f>IF(D17="","",ROUND(E17*($B$12-D17)*C17/365,2))</f>
        <v>-43822.62</v>
      </c>
      <c r="H17" s="20">
        <v>45000000</v>
      </c>
      <c r="I17" s="20">
        <f>IF(H17="","",H17-H18)</f>
        <v>71067.70000000298</v>
      </c>
      <c r="J17" s="20">
        <f>IF(D17="","",ROUND(H17*($C$12-D17)*C17/365,2))</f>
        <v>-69173.649999999994</v>
      </c>
      <c r="K17" s="17">
        <v>45535</v>
      </c>
      <c r="L17" s="18">
        <f>IF(A18="","",K17-B17)+1</f>
        <v>6</v>
      </c>
      <c r="M17" s="20">
        <f>IF(D17="","",ROUND(E17*($B$12-D17)*L17/365,2))</f>
        <v>-8481.7999999999993</v>
      </c>
      <c r="N17" s="20">
        <f>IF(D17="","",ROUND(H17*($C$12-D17)*L17/365,2))</f>
        <v>-13388.45</v>
      </c>
      <c r="S17" s="281"/>
    </row>
    <row r="18" spans="1:19" x14ac:dyDescent="0.3">
      <c r="A18" s="17">
        <v>45530</v>
      </c>
      <c r="B18" s="17">
        <f t="shared" ref="B18:B81" si="0">IF(A19="","",A19)</f>
        <v>45561</v>
      </c>
      <c r="C18" s="18">
        <f t="shared" ref="C18:C81" si="1">IF(A19="","",B18-A18)</f>
        <v>31</v>
      </c>
      <c r="D18" s="250">
        <v>4.4297200000000002E-2</v>
      </c>
      <c r="E18" s="19">
        <v>30000000</v>
      </c>
      <c r="F18" s="20">
        <f t="shared" ref="F18:I81" si="2">IF(E18="","",E18-E19)</f>
        <v>0</v>
      </c>
      <c r="G18" s="20">
        <f t="shared" ref="G18:G81" si="3">IF(D18="","",ROUND(E18*($B$12-D18)*C18/365,2))</f>
        <v>-39740.81</v>
      </c>
      <c r="H18" s="20">
        <v>44928932.299999997</v>
      </c>
      <c r="I18" s="20">
        <f t="shared" si="2"/>
        <v>71374.04999999702</v>
      </c>
      <c r="J18" s="20">
        <f t="shared" ref="J18:J76" si="4">IF(D18="","",ROUND(H18*($C$12-D18)*C18/365,2))</f>
        <v>-62951.37</v>
      </c>
      <c r="K18" s="17">
        <v>45565</v>
      </c>
      <c r="L18" s="18">
        <f t="shared" ref="L18:L81" si="5">IF(A19="","",K18-B18)+1</f>
        <v>5</v>
      </c>
      <c r="M18" s="20">
        <f>IF(D18="","",ROUND(E18*($B$12-D18)*L18/365,2))</f>
        <v>-6409.81</v>
      </c>
      <c r="N18" s="20">
        <f t="shared" ref="N18:N81" si="6">IF(D18="","",ROUND(H18*($C$12-D18)*L18/365,2))</f>
        <v>-10153.450000000001</v>
      </c>
    </row>
    <row r="19" spans="1:19" x14ac:dyDescent="0.3">
      <c r="A19" s="17">
        <v>45561</v>
      </c>
      <c r="B19" s="17">
        <f t="shared" si="0"/>
        <v>45593</v>
      </c>
      <c r="C19" s="18">
        <f t="shared" si="1"/>
        <v>32</v>
      </c>
      <c r="D19" s="250">
        <v>4.3068998999999997E-2</v>
      </c>
      <c r="E19" s="19">
        <v>30000000</v>
      </c>
      <c r="F19" s="20">
        <f t="shared" si="2"/>
        <v>0</v>
      </c>
      <c r="G19" s="20">
        <f t="shared" si="3"/>
        <v>-37792.44</v>
      </c>
      <c r="H19" s="20">
        <v>44857558.25</v>
      </c>
      <c r="I19" s="20">
        <f t="shared" si="2"/>
        <v>65444.10000000149</v>
      </c>
      <c r="J19" s="20">
        <f t="shared" si="4"/>
        <v>-60048.66</v>
      </c>
      <c r="K19" s="17">
        <v>45596</v>
      </c>
      <c r="L19" s="18">
        <f t="shared" si="5"/>
        <v>4</v>
      </c>
      <c r="M19" s="20">
        <f>IF(D19="","",ROUND(E19*($B$12-D19)*L19/365,2))</f>
        <v>-4724.05</v>
      </c>
      <c r="N19" s="20">
        <f t="shared" si="6"/>
        <v>-7506.08</v>
      </c>
      <c r="P19" s="296"/>
    </row>
    <row r="20" spans="1:19" x14ac:dyDescent="0.3">
      <c r="A20" s="17">
        <v>45593</v>
      </c>
      <c r="B20" s="17">
        <f t="shared" si="0"/>
        <v>45622</v>
      </c>
      <c r="C20" s="18">
        <f t="shared" si="1"/>
        <v>29</v>
      </c>
      <c r="D20" s="250">
        <v>3.8634400999999999E-2</v>
      </c>
      <c r="E20" s="19">
        <v>30000000</v>
      </c>
      <c r="F20" s="20">
        <f t="shared" si="2"/>
        <v>0</v>
      </c>
      <c r="G20" s="20">
        <f t="shared" si="3"/>
        <v>-23679.26</v>
      </c>
      <c r="H20" s="20">
        <v>44792114.149999999</v>
      </c>
      <c r="I20" s="20">
        <f>IF(H20="","",H20-H21)</f>
        <v>84420.869999997318</v>
      </c>
      <c r="J20" s="20">
        <f t="shared" si="4"/>
        <v>-38557.74</v>
      </c>
      <c r="K20" s="17">
        <v>45626</v>
      </c>
      <c r="L20" s="18">
        <f t="shared" si="5"/>
        <v>5</v>
      </c>
      <c r="M20" s="20">
        <f>IF(D20="","",ROUND(E20*($B$12-D20)*L20/365,2))</f>
        <v>-4082.63</v>
      </c>
      <c r="N20" s="20">
        <f t="shared" si="6"/>
        <v>-6647.89</v>
      </c>
      <c r="P20" s="296"/>
    </row>
    <row r="21" spans="1:19" x14ac:dyDescent="0.3">
      <c r="A21" s="17">
        <v>45622</v>
      </c>
      <c r="B21" s="17">
        <f t="shared" si="0"/>
        <v>45653</v>
      </c>
      <c r="C21" s="18">
        <f t="shared" si="1"/>
        <v>31</v>
      </c>
      <c r="D21" s="250">
        <v>3.6627499899999999E-2</v>
      </c>
      <c r="E21" s="19">
        <v>30000000</v>
      </c>
      <c r="F21" s="20">
        <f t="shared" si="2"/>
        <v>0</v>
      </c>
      <c r="G21" s="20">
        <f t="shared" si="3"/>
        <v>-20198.84</v>
      </c>
      <c r="H21" s="322">
        <v>44707693.280000001</v>
      </c>
      <c r="I21" s="322">
        <f>IF(H21="","",H21-H22)</f>
        <v>72327.740000002086</v>
      </c>
      <c r="J21" s="322">
        <f>-31881.03</f>
        <v>-31881.03</v>
      </c>
      <c r="K21" s="17">
        <v>45657</v>
      </c>
      <c r="L21" s="18">
        <f t="shared" si="5"/>
        <v>5</v>
      </c>
      <c r="M21" s="20">
        <f t="shared" ref="M21:M81" si="7">IF(D21="","",ROUND(E21*($B$12-D21)*L21/365,2))</f>
        <v>-3257.88</v>
      </c>
      <c r="N21" s="20">
        <f t="shared" si="6"/>
        <v>-5406.26</v>
      </c>
      <c r="P21" s="296"/>
    </row>
    <row r="22" spans="1:19" x14ac:dyDescent="0.3">
      <c r="A22" s="17">
        <v>45653</v>
      </c>
      <c r="B22" s="17">
        <f t="shared" si="0"/>
        <v>45684</v>
      </c>
      <c r="C22" s="18">
        <f t="shared" si="1"/>
        <v>31</v>
      </c>
      <c r="D22" s="250">
        <v>3.3065899900000001E-2</v>
      </c>
      <c r="E22" s="19">
        <v>30000000</v>
      </c>
      <c r="F22" s="20">
        <f t="shared" si="2"/>
        <v>0</v>
      </c>
      <c r="G22" s="20">
        <f t="shared" si="3"/>
        <v>-11124.07</v>
      </c>
      <c r="H22" s="20">
        <v>44635365.539999999</v>
      </c>
      <c r="I22" s="20">
        <f t="shared" si="2"/>
        <v>72639.520000003278</v>
      </c>
      <c r="J22" s="20">
        <f t="shared" si="4"/>
        <v>-19962.759999999998</v>
      </c>
      <c r="K22" s="17">
        <v>45688</v>
      </c>
      <c r="L22" s="18">
        <f t="shared" si="5"/>
        <v>5</v>
      </c>
      <c r="M22" s="437">
        <f t="shared" si="7"/>
        <v>-1794.21</v>
      </c>
      <c r="N22" s="437">
        <f t="shared" si="6"/>
        <v>-3219.8</v>
      </c>
      <c r="P22" s="296"/>
    </row>
    <row r="23" spans="1:19" x14ac:dyDescent="0.3">
      <c r="A23" s="17">
        <v>45684</v>
      </c>
      <c r="B23" s="17">
        <f t="shared" si="0"/>
        <v>45714</v>
      </c>
      <c r="C23" s="18">
        <f t="shared" si="1"/>
        <v>30</v>
      </c>
      <c r="D23" s="4">
        <f>'Dettes - CORRA'!E13</f>
        <v>3.0750366666666671E-2</v>
      </c>
      <c r="E23" s="19">
        <v>30000000</v>
      </c>
      <c r="F23" s="20">
        <f t="shared" si="2"/>
        <v>0</v>
      </c>
      <c r="G23" s="20">
        <f t="shared" si="3"/>
        <v>-5055.7</v>
      </c>
      <c r="H23" s="20">
        <v>44562726.019999996</v>
      </c>
      <c r="I23" s="20">
        <f t="shared" si="2"/>
        <v>79149.270000003278</v>
      </c>
      <c r="J23" s="20">
        <f t="shared" si="4"/>
        <v>-10806.28</v>
      </c>
      <c r="K23" s="17">
        <v>45716</v>
      </c>
      <c r="L23" s="18">
        <f t="shared" si="5"/>
        <v>3</v>
      </c>
      <c r="M23" s="274">
        <f t="shared" si="7"/>
        <v>-505.57</v>
      </c>
      <c r="N23" s="274">
        <f t="shared" si="6"/>
        <v>-1080.6300000000001</v>
      </c>
      <c r="P23" s="296"/>
    </row>
    <row r="24" spans="1:19" x14ac:dyDescent="0.3">
      <c r="A24" s="17">
        <v>45714</v>
      </c>
      <c r="B24" s="17">
        <f t="shared" si="0"/>
        <v>45742</v>
      </c>
      <c r="C24" s="18">
        <f t="shared" si="1"/>
        <v>28</v>
      </c>
      <c r="D24" s="4">
        <f>'Dettes - CORRA'!E14</f>
        <v>2.9333700000000004E-2</v>
      </c>
      <c r="E24" s="19">
        <v>30000000</v>
      </c>
      <c r="F24" s="20">
        <f t="shared" si="2"/>
        <v>0</v>
      </c>
      <c r="G24" s="20">
        <f t="shared" si="3"/>
        <v>-1458.38</v>
      </c>
      <c r="H24" s="20">
        <v>44483576.749999993</v>
      </c>
      <c r="I24" s="20">
        <f t="shared" si="2"/>
        <v>91850.679999999702</v>
      </c>
      <c r="J24" s="20">
        <f t="shared" si="4"/>
        <v>-5233.66</v>
      </c>
      <c r="K24" s="17">
        <v>45747</v>
      </c>
      <c r="L24" s="18">
        <f t="shared" si="5"/>
        <v>6</v>
      </c>
      <c r="M24" s="274">
        <f t="shared" si="7"/>
        <v>-312.51</v>
      </c>
      <c r="N24" s="274">
        <f t="shared" si="6"/>
        <v>-1121.5</v>
      </c>
      <c r="P24" s="296"/>
    </row>
    <row r="25" spans="1:19" x14ac:dyDescent="0.3">
      <c r="A25" s="17">
        <v>45742</v>
      </c>
      <c r="B25" s="17">
        <f t="shared" si="0"/>
        <v>45775</v>
      </c>
      <c r="C25" s="18">
        <f t="shared" si="1"/>
        <v>33</v>
      </c>
      <c r="D25" s="4">
        <f>'Dettes - CORRA'!E15</f>
        <v>2.7174609090909095E-2</v>
      </c>
      <c r="E25" s="19">
        <v>30000000</v>
      </c>
      <c r="F25" s="20">
        <f t="shared" si="2"/>
        <v>0</v>
      </c>
      <c r="G25" s="20">
        <f t="shared" si="3"/>
        <v>4137.3599999999997</v>
      </c>
      <c r="H25" s="20">
        <v>44391726.069999993</v>
      </c>
      <c r="I25" s="20">
        <f t="shared" si="2"/>
        <v>61344.079999998212</v>
      </c>
      <c r="J25" s="20">
        <f t="shared" si="4"/>
        <v>2510.0100000000002</v>
      </c>
      <c r="K25" s="17">
        <v>45777</v>
      </c>
      <c r="L25" s="18">
        <f t="shared" si="5"/>
        <v>3</v>
      </c>
      <c r="M25" s="274">
        <f t="shared" si="7"/>
        <v>376.12</v>
      </c>
      <c r="N25" s="274">
        <f t="shared" si="6"/>
        <v>228.18</v>
      </c>
      <c r="P25" s="296"/>
    </row>
    <row r="26" spans="1:19" x14ac:dyDescent="0.3">
      <c r="A26" s="17">
        <v>45775</v>
      </c>
      <c r="B26" s="17">
        <f t="shared" si="0"/>
        <v>45803</v>
      </c>
      <c r="C26" s="18">
        <f t="shared" si="1"/>
        <v>28</v>
      </c>
      <c r="D26" s="4">
        <f>'Dettes - CORRA'!E16</f>
        <v>2.5583700000000015E-2</v>
      </c>
      <c r="E26" s="19">
        <v>30000000</v>
      </c>
      <c r="F26" s="20">
        <f t="shared" si="2"/>
        <v>0</v>
      </c>
      <c r="G26" s="20">
        <f t="shared" si="3"/>
        <v>7171.76</v>
      </c>
      <c r="H26" s="20">
        <v>44330381.989999995</v>
      </c>
      <c r="I26" s="20">
        <f t="shared" si="2"/>
        <v>92447.14999999851</v>
      </c>
      <c r="J26" s="20">
        <f t="shared" si="4"/>
        <v>7536.94</v>
      </c>
      <c r="K26" s="17">
        <v>45808</v>
      </c>
      <c r="L26" s="18">
        <f t="shared" si="5"/>
        <v>6</v>
      </c>
      <c r="M26" s="274">
        <f t="shared" si="7"/>
        <v>1536.81</v>
      </c>
      <c r="N26" s="274">
        <f t="shared" si="6"/>
        <v>1615.06</v>
      </c>
      <c r="P26" s="296"/>
    </row>
    <row r="27" spans="1:19" x14ac:dyDescent="0.3">
      <c r="A27" s="17">
        <v>45803</v>
      </c>
      <c r="B27" s="17">
        <f t="shared" si="0"/>
        <v>45834</v>
      </c>
      <c r="C27" s="18">
        <f t="shared" si="1"/>
        <v>31</v>
      </c>
      <c r="D27" s="4">
        <f>'Dettes - CORRA'!E17</f>
        <v>2.3809506451612915E-2</v>
      </c>
      <c r="E27" s="19">
        <v>30000000</v>
      </c>
      <c r="F27" s="20">
        <f t="shared" si="2"/>
        <v>0</v>
      </c>
      <c r="G27" s="20">
        <f t="shared" si="3"/>
        <v>12460.71</v>
      </c>
      <c r="H27" s="20">
        <v>44237934.839999996</v>
      </c>
      <c r="I27" s="20">
        <f t="shared" si="2"/>
        <v>74352.710000000894</v>
      </c>
      <c r="J27" s="20">
        <f t="shared" si="4"/>
        <v>14993.06</v>
      </c>
      <c r="K27" s="17">
        <v>45838</v>
      </c>
      <c r="L27" s="18">
        <f t="shared" si="5"/>
        <v>5</v>
      </c>
      <c r="M27" s="274">
        <f t="shared" si="7"/>
        <v>2009.79</v>
      </c>
      <c r="N27" s="274">
        <f t="shared" si="6"/>
        <v>2418.2399999999998</v>
      </c>
      <c r="P27" s="296"/>
    </row>
    <row r="28" spans="1:19" x14ac:dyDescent="0.3">
      <c r="A28" s="17">
        <v>45834</v>
      </c>
      <c r="B28" s="17">
        <f t="shared" si="0"/>
        <v>45866</v>
      </c>
      <c r="C28" s="18">
        <f t="shared" si="1"/>
        <v>32</v>
      </c>
      <c r="D28" s="4">
        <f>'Dettes - CORRA'!E18</f>
        <v>2.3083700000000013E-2</v>
      </c>
      <c r="E28" s="19">
        <v>30000000</v>
      </c>
      <c r="F28" s="20">
        <f t="shared" si="2"/>
        <v>0</v>
      </c>
      <c r="G28" s="20">
        <f t="shared" si="3"/>
        <v>14771.64</v>
      </c>
      <c r="H28" s="20">
        <v>44163582.129999995</v>
      </c>
      <c r="I28" s="20">
        <f t="shared" si="2"/>
        <v>68532.10000000149</v>
      </c>
      <c r="J28" s="20">
        <f t="shared" si="4"/>
        <v>18260.93</v>
      </c>
      <c r="K28" s="17">
        <v>45869</v>
      </c>
      <c r="L28" s="18">
        <f t="shared" si="5"/>
        <v>4</v>
      </c>
      <c r="M28" s="274">
        <f t="shared" si="7"/>
        <v>1846.45</v>
      </c>
      <c r="N28" s="274">
        <f t="shared" si="6"/>
        <v>2282.62</v>
      </c>
      <c r="P28" s="296"/>
    </row>
    <row r="29" spans="1:19" x14ac:dyDescent="0.3">
      <c r="A29" s="17">
        <v>45866</v>
      </c>
      <c r="B29" s="17">
        <f t="shared" si="0"/>
        <v>45895</v>
      </c>
      <c r="C29" s="18">
        <f t="shared" si="1"/>
        <v>29</v>
      </c>
      <c r="D29" s="4">
        <f>'Dettes - CORRA'!E19</f>
        <v>2.3083700000000019E-2</v>
      </c>
      <c r="E29" s="19">
        <v>30000000</v>
      </c>
      <c r="F29" s="20">
        <f t="shared" si="2"/>
        <v>0</v>
      </c>
      <c r="G29" s="20">
        <f t="shared" si="3"/>
        <v>13386.8</v>
      </c>
      <c r="H29" s="20">
        <v>44095050.029999994</v>
      </c>
      <c r="I29" s="20">
        <f t="shared" si="2"/>
        <v>87231.829999998212</v>
      </c>
      <c r="J29" s="20">
        <f t="shared" si="4"/>
        <v>16523.29</v>
      </c>
      <c r="K29" s="17">
        <v>45900</v>
      </c>
      <c r="L29" s="18">
        <f t="shared" si="5"/>
        <v>6</v>
      </c>
      <c r="M29" s="274">
        <f t="shared" si="7"/>
        <v>2769.68</v>
      </c>
      <c r="N29" s="274">
        <f t="shared" si="6"/>
        <v>3418.61</v>
      </c>
      <c r="P29" s="296"/>
    </row>
    <row r="30" spans="1:19" x14ac:dyDescent="0.3">
      <c r="A30" s="17">
        <v>45895</v>
      </c>
      <c r="B30" s="17">
        <f t="shared" si="0"/>
        <v>45926</v>
      </c>
      <c r="C30" s="18">
        <f t="shared" si="1"/>
        <v>31</v>
      </c>
      <c r="D30" s="4">
        <f>'Dettes - CORRA'!E20</f>
        <v>2.3083700000000013E-2</v>
      </c>
      <c r="E30" s="19">
        <v>30000000</v>
      </c>
      <c r="F30" s="20">
        <f t="shared" si="2"/>
        <v>0</v>
      </c>
      <c r="G30" s="20">
        <f t="shared" si="3"/>
        <v>14310.02</v>
      </c>
      <c r="H30" s="20">
        <v>44007818.199999996</v>
      </c>
      <c r="I30" s="20">
        <f t="shared" si="2"/>
        <v>75344.670000001788</v>
      </c>
      <c r="J30" s="20">
        <f t="shared" si="4"/>
        <v>17627.88</v>
      </c>
      <c r="K30" s="17">
        <v>45930</v>
      </c>
      <c r="L30" s="18">
        <f t="shared" si="5"/>
        <v>5</v>
      </c>
      <c r="M30" s="274">
        <f t="shared" si="7"/>
        <v>2308.0700000000002</v>
      </c>
      <c r="N30" s="274">
        <f t="shared" si="6"/>
        <v>2843.21</v>
      </c>
      <c r="P30" s="296"/>
    </row>
    <row r="31" spans="1:19" x14ac:dyDescent="0.3">
      <c r="A31" s="17">
        <v>45926</v>
      </c>
      <c r="B31" s="17">
        <f t="shared" si="0"/>
        <v>45957</v>
      </c>
      <c r="C31" s="18">
        <f t="shared" si="1"/>
        <v>31</v>
      </c>
      <c r="D31" s="4">
        <f>'Dettes - CORRA'!E21</f>
        <v>2.3083700000000013E-2</v>
      </c>
      <c r="E31" s="19">
        <v>30000000</v>
      </c>
      <c r="F31" s="20">
        <f t="shared" si="2"/>
        <v>0</v>
      </c>
      <c r="G31" s="20">
        <f t="shared" si="3"/>
        <v>14310.02</v>
      </c>
      <c r="H31" s="20">
        <v>43932473.529999994</v>
      </c>
      <c r="I31" s="20">
        <f t="shared" si="2"/>
        <v>75669.460000000894</v>
      </c>
      <c r="J31" s="20">
        <f t="shared" si="4"/>
        <v>17597.7</v>
      </c>
      <c r="K31" s="17">
        <v>45961</v>
      </c>
      <c r="L31" s="18">
        <f t="shared" si="5"/>
        <v>5</v>
      </c>
      <c r="M31" s="274">
        <f t="shared" si="7"/>
        <v>2308.0700000000002</v>
      </c>
      <c r="N31" s="274">
        <f t="shared" si="6"/>
        <v>2838.34</v>
      </c>
      <c r="P31" s="296"/>
    </row>
    <row r="32" spans="1:19" x14ac:dyDescent="0.3">
      <c r="A32" s="17">
        <v>45957</v>
      </c>
      <c r="B32" s="17">
        <f t="shared" si="0"/>
        <v>45987</v>
      </c>
      <c r="C32" s="18">
        <f t="shared" si="1"/>
        <v>30</v>
      </c>
      <c r="D32" s="4">
        <f>'Dettes - CORRA'!E22</f>
        <v>2.3083700000000019E-2</v>
      </c>
      <c r="E32" s="19">
        <v>30000000</v>
      </c>
      <c r="F32" s="20">
        <f t="shared" si="2"/>
        <v>0</v>
      </c>
      <c r="G32" s="20">
        <f t="shared" si="3"/>
        <v>13848.41</v>
      </c>
      <c r="H32" s="20">
        <v>43856804.069999993</v>
      </c>
      <c r="I32" s="20">
        <f t="shared" si="2"/>
        <v>82094.109999999404</v>
      </c>
      <c r="J32" s="20">
        <f t="shared" si="4"/>
        <v>17000.7</v>
      </c>
      <c r="K32" s="17">
        <v>45991</v>
      </c>
      <c r="L32" s="18">
        <f t="shared" si="5"/>
        <v>5</v>
      </c>
      <c r="M32" s="274">
        <f t="shared" si="7"/>
        <v>2308.0700000000002</v>
      </c>
      <c r="N32" s="274">
        <f t="shared" si="6"/>
        <v>2833.45</v>
      </c>
      <c r="P32" s="296"/>
    </row>
    <row r="33" spans="1:14" x14ac:dyDescent="0.3">
      <c r="A33" s="17">
        <v>45987</v>
      </c>
      <c r="B33" s="17">
        <f t="shared" si="0"/>
        <v>46020</v>
      </c>
      <c r="C33" s="18">
        <f t="shared" si="1"/>
        <v>33</v>
      </c>
      <c r="D33" s="4">
        <f>'Dettes - CORRA'!E23</f>
        <v>2.3083700000000013E-2</v>
      </c>
      <c r="E33" s="19">
        <v>30000000</v>
      </c>
      <c r="F33" s="20">
        <f t="shared" si="2"/>
        <v>0</v>
      </c>
      <c r="G33" s="20">
        <f t="shared" si="3"/>
        <v>15233.25</v>
      </c>
      <c r="H33" s="20">
        <v>43774709.959999993</v>
      </c>
      <c r="I33" s="20">
        <f t="shared" si="2"/>
        <v>64175.429999999702</v>
      </c>
      <c r="J33" s="20">
        <f t="shared" si="4"/>
        <v>18665.759999999998</v>
      </c>
      <c r="K33" s="17">
        <v>46022</v>
      </c>
      <c r="L33" s="18">
        <f t="shared" si="5"/>
        <v>3</v>
      </c>
      <c r="M33" s="274">
        <f t="shared" si="7"/>
        <v>1384.84</v>
      </c>
      <c r="N33" s="274">
        <f t="shared" si="6"/>
        <v>1696.89</v>
      </c>
    </row>
    <row r="34" spans="1:14" x14ac:dyDescent="0.3">
      <c r="A34" s="17">
        <v>46020</v>
      </c>
      <c r="B34" s="17">
        <f t="shared" si="0"/>
        <v>46048</v>
      </c>
      <c r="C34" s="18">
        <f t="shared" si="1"/>
        <v>28</v>
      </c>
      <c r="D34" s="4">
        <f>'Dettes - CORRA'!E24</f>
        <v>2.3083700000000023E-2</v>
      </c>
      <c r="E34" s="19">
        <v>30000000</v>
      </c>
      <c r="F34" s="20">
        <f t="shared" si="2"/>
        <v>0</v>
      </c>
      <c r="G34" s="20">
        <f t="shared" si="3"/>
        <v>12925.18</v>
      </c>
      <c r="H34" s="20">
        <v>43710534.529999994</v>
      </c>
      <c r="I34" s="20">
        <f t="shared" si="2"/>
        <v>94860.530000001192</v>
      </c>
      <c r="J34" s="20">
        <f t="shared" si="4"/>
        <v>15814.4</v>
      </c>
      <c r="K34" s="17">
        <v>46053</v>
      </c>
      <c r="L34" s="18">
        <f t="shared" si="5"/>
        <v>6</v>
      </c>
      <c r="M34" s="274">
        <f t="shared" si="7"/>
        <v>2769.68</v>
      </c>
      <c r="N34" s="274">
        <f t="shared" si="6"/>
        <v>3388.8</v>
      </c>
    </row>
    <row r="35" spans="1:14" x14ac:dyDescent="0.3">
      <c r="A35" s="17">
        <v>46048</v>
      </c>
      <c r="B35" s="17">
        <f t="shared" si="0"/>
        <v>46079</v>
      </c>
      <c r="C35" s="18">
        <f t="shared" si="1"/>
        <v>31</v>
      </c>
      <c r="D35" s="4">
        <f>'Dettes - CORRA'!E25</f>
        <v>2.3083700000000013E-2</v>
      </c>
      <c r="E35" s="19">
        <v>30000000</v>
      </c>
      <c r="F35" s="20">
        <f t="shared" si="2"/>
        <v>0</v>
      </c>
      <c r="G35" s="20">
        <f t="shared" si="3"/>
        <v>14310.02</v>
      </c>
      <c r="H35" s="20">
        <v>43615673.999999993</v>
      </c>
      <c r="I35" s="20">
        <f t="shared" si="2"/>
        <v>77035.079999998212</v>
      </c>
      <c r="J35" s="20">
        <f t="shared" si="4"/>
        <v>17470.8</v>
      </c>
      <c r="K35" s="17">
        <v>46081</v>
      </c>
      <c r="L35" s="18">
        <f t="shared" si="5"/>
        <v>3</v>
      </c>
      <c r="M35" s="274">
        <f t="shared" si="7"/>
        <v>1384.84</v>
      </c>
      <c r="N35" s="274">
        <f t="shared" si="6"/>
        <v>1690.72</v>
      </c>
    </row>
    <row r="36" spans="1:14" x14ac:dyDescent="0.3">
      <c r="A36" s="17">
        <v>46079</v>
      </c>
      <c r="B36" s="17">
        <f t="shared" si="0"/>
        <v>46107</v>
      </c>
      <c r="C36" s="18">
        <f t="shared" si="1"/>
        <v>28</v>
      </c>
      <c r="D36" s="4">
        <f>'Dettes - CORRA'!E26</f>
        <v>2.3083700000000023E-2</v>
      </c>
      <c r="E36" s="19">
        <v>30000000</v>
      </c>
      <c r="F36" s="20">
        <f t="shared" si="2"/>
        <v>0</v>
      </c>
      <c r="G36" s="20">
        <f t="shared" si="3"/>
        <v>12925.18</v>
      </c>
      <c r="H36" s="20">
        <v>43538638.919999994</v>
      </c>
      <c r="I36" s="20">
        <f t="shared" si="2"/>
        <v>95529.810000002384</v>
      </c>
      <c r="J36" s="20">
        <f t="shared" si="4"/>
        <v>15752.21</v>
      </c>
      <c r="K36" s="17">
        <v>46112</v>
      </c>
      <c r="L36" s="18">
        <f t="shared" si="5"/>
        <v>6</v>
      </c>
      <c r="M36" s="274">
        <f t="shared" si="7"/>
        <v>2769.68</v>
      </c>
      <c r="N36" s="274">
        <f t="shared" si="6"/>
        <v>3375.47</v>
      </c>
    </row>
    <row r="37" spans="1:14" x14ac:dyDescent="0.3">
      <c r="A37" s="17">
        <v>46107</v>
      </c>
      <c r="B37" s="17">
        <f t="shared" si="0"/>
        <v>46139</v>
      </c>
      <c r="C37" s="18">
        <f t="shared" si="1"/>
        <v>32</v>
      </c>
      <c r="D37" s="4">
        <f>'Dettes - CORRA'!E27</f>
        <v>2.3083700000000013E-2</v>
      </c>
      <c r="E37" s="19">
        <v>30000000</v>
      </c>
      <c r="F37" s="20">
        <f t="shared" si="2"/>
        <v>0</v>
      </c>
      <c r="G37" s="20">
        <f t="shared" si="3"/>
        <v>14771.64</v>
      </c>
      <c r="H37" s="20">
        <v>43443109.109999992</v>
      </c>
      <c r="I37" s="20">
        <f t="shared" si="2"/>
        <v>71738.009999997914</v>
      </c>
      <c r="J37" s="20">
        <f t="shared" si="4"/>
        <v>17963.02</v>
      </c>
      <c r="K37" s="17">
        <v>46142</v>
      </c>
      <c r="L37" s="18">
        <f t="shared" si="5"/>
        <v>4</v>
      </c>
      <c r="M37" s="274">
        <f t="shared" si="7"/>
        <v>1846.45</v>
      </c>
      <c r="N37" s="274">
        <f t="shared" si="6"/>
        <v>2245.38</v>
      </c>
    </row>
    <row r="38" spans="1:14" x14ac:dyDescent="0.3">
      <c r="A38" s="17">
        <v>46139</v>
      </c>
      <c r="B38" s="17">
        <f t="shared" si="0"/>
        <v>46168</v>
      </c>
      <c r="C38" s="18">
        <f t="shared" si="1"/>
        <v>29</v>
      </c>
      <c r="D38" s="4">
        <f>'Dettes - CORRA'!E28</f>
        <v>2.3083700000000019E-2</v>
      </c>
      <c r="E38" s="19">
        <v>30000000</v>
      </c>
      <c r="F38" s="20">
        <f t="shared" si="2"/>
        <v>0</v>
      </c>
      <c r="G38" s="20">
        <f t="shared" si="3"/>
        <v>13386.8</v>
      </c>
      <c r="H38" s="20">
        <v>43371371.099999994</v>
      </c>
      <c r="I38" s="20">
        <f t="shared" si="2"/>
        <v>90150.109999999404</v>
      </c>
      <c r="J38" s="20">
        <f t="shared" si="4"/>
        <v>16252.11</v>
      </c>
      <c r="K38" s="17">
        <v>46173</v>
      </c>
      <c r="L38" s="18">
        <f t="shared" si="5"/>
        <v>6</v>
      </c>
      <c r="M38" s="274">
        <f t="shared" si="7"/>
        <v>2769.68</v>
      </c>
      <c r="N38" s="274">
        <f t="shared" si="6"/>
        <v>3362.51</v>
      </c>
    </row>
    <row r="39" spans="1:14" x14ac:dyDescent="0.3">
      <c r="A39" s="17">
        <v>46168</v>
      </c>
      <c r="B39" s="17">
        <f t="shared" si="0"/>
        <v>46199</v>
      </c>
      <c r="C39" s="18">
        <f t="shared" si="1"/>
        <v>31</v>
      </c>
      <c r="D39" s="4">
        <f>'Dettes - CORRA'!E29</f>
        <v>2.3083700000000013E-2</v>
      </c>
      <c r="E39" s="19">
        <v>30000000</v>
      </c>
      <c r="F39" s="20">
        <f t="shared" si="2"/>
        <v>0</v>
      </c>
      <c r="G39" s="20">
        <f t="shared" si="3"/>
        <v>14310.02</v>
      </c>
      <c r="H39" s="20">
        <v>43281220.989999995</v>
      </c>
      <c r="I39" s="20">
        <f t="shared" si="2"/>
        <v>78476.789999999106</v>
      </c>
      <c r="J39" s="20">
        <f t="shared" si="4"/>
        <v>17336.830000000002</v>
      </c>
      <c r="K39" s="17">
        <v>46203</v>
      </c>
      <c r="L39" s="18">
        <f t="shared" si="5"/>
        <v>5</v>
      </c>
      <c r="M39" s="274">
        <f t="shared" si="7"/>
        <v>2308.0700000000002</v>
      </c>
      <c r="N39" s="274">
        <f t="shared" si="6"/>
        <v>2796.26</v>
      </c>
    </row>
    <row r="40" spans="1:14" x14ac:dyDescent="0.3">
      <c r="A40" s="17">
        <v>46199</v>
      </c>
      <c r="B40" s="17">
        <f t="shared" si="0"/>
        <v>46230</v>
      </c>
      <c r="C40" s="18">
        <f t="shared" si="1"/>
        <v>31</v>
      </c>
      <c r="D40" s="4">
        <f>'Dettes - CORRA'!E30</f>
        <v>2.3083700000000019E-2</v>
      </c>
      <c r="E40" s="19">
        <v>30000000</v>
      </c>
      <c r="F40" s="20">
        <f t="shared" si="2"/>
        <v>0</v>
      </c>
      <c r="G40" s="20">
        <f t="shared" si="3"/>
        <v>14310.02</v>
      </c>
      <c r="H40" s="20">
        <v>43202744.199999996</v>
      </c>
      <c r="I40" s="20">
        <f t="shared" si="2"/>
        <v>78815.079999998212</v>
      </c>
      <c r="J40" s="20">
        <f t="shared" si="4"/>
        <v>17305.400000000001</v>
      </c>
      <c r="K40" s="17">
        <v>46234</v>
      </c>
      <c r="L40" s="18">
        <f t="shared" si="5"/>
        <v>5</v>
      </c>
      <c r="M40" s="274">
        <f t="shared" si="7"/>
        <v>2308.0700000000002</v>
      </c>
      <c r="N40" s="274">
        <f t="shared" si="6"/>
        <v>2791.19</v>
      </c>
    </row>
    <row r="41" spans="1:14" x14ac:dyDescent="0.3">
      <c r="A41" s="17">
        <v>46230</v>
      </c>
      <c r="B41" s="17">
        <f t="shared" si="0"/>
        <v>46260</v>
      </c>
      <c r="C41" s="18">
        <f t="shared" si="1"/>
        <v>30</v>
      </c>
      <c r="D41" s="4">
        <f>'Dettes - CORRA'!E31</f>
        <v>2.3083700000000019E-2</v>
      </c>
      <c r="E41" s="19">
        <v>30000000</v>
      </c>
      <c r="F41" s="20">
        <f t="shared" si="2"/>
        <v>0</v>
      </c>
      <c r="G41" s="20">
        <f t="shared" si="3"/>
        <v>13848.41</v>
      </c>
      <c r="H41" s="20">
        <v>43123929.119999997</v>
      </c>
      <c r="I41" s="20">
        <f t="shared" si="2"/>
        <v>85151.380000002682</v>
      </c>
      <c r="J41" s="20">
        <f t="shared" si="4"/>
        <v>16716.61</v>
      </c>
      <c r="K41" s="17">
        <v>46265</v>
      </c>
      <c r="L41" s="18">
        <f t="shared" si="5"/>
        <v>6</v>
      </c>
      <c r="M41" s="274">
        <f t="shared" si="7"/>
        <v>2769.68</v>
      </c>
      <c r="N41" s="274">
        <f t="shared" si="6"/>
        <v>3343.32</v>
      </c>
    </row>
    <row r="42" spans="1:14" x14ac:dyDescent="0.3">
      <c r="A42" s="17">
        <v>46260</v>
      </c>
      <c r="B42" s="17">
        <f t="shared" si="0"/>
        <v>46293</v>
      </c>
      <c r="C42" s="18">
        <f t="shared" si="1"/>
        <v>33</v>
      </c>
      <c r="D42" s="4">
        <f>'Dettes - CORRA'!E32</f>
        <v>2.3083700000000013E-2</v>
      </c>
      <c r="E42" s="19">
        <v>30000000</v>
      </c>
      <c r="F42" s="20">
        <f t="shared" si="2"/>
        <v>0</v>
      </c>
      <c r="G42" s="20">
        <f t="shared" si="3"/>
        <v>15233.25</v>
      </c>
      <c r="H42" s="20">
        <v>43038777.739999995</v>
      </c>
      <c r="I42" s="20">
        <f t="shared" si="2"/>
        <v>67552.460000000894</v>
      </c>
      <c r="J42" s="20">
        <f t="shared" si="4"/>
        <v>18351.96</v>
      </c>
      <c r="K42" s="17">
        <v>46295</v>
      </c>
      <c r="L42" s="18">
        <f t="shared" si="5"/>
        <v>3</v>
      </c>
      <c r="M42" s="274">
        <f t="shared" si="7"/>
        <v>1384.84</v>
      </c>
      <c r="N42" s="274">
        <f t="shared" si="6"/>
        <v>1668.36</v>
      </c>
    </row>
    <row r="43" spans="1:14" x14ac:dyDescent="0.3">
      <c r="A43" s="17">
        <v>46293</v>
      </c>
      <c r="B43" s="17">
        <f t="shared" si="0"/>
        <v>46321</v>
      </c>
      <c r="C43" s="18">
        <f t="shared" si="1"/>
        <v>28</v>
      </c>
      <c r="D43" s="4">
        <f>'Dettes - CORRA'!E33</f>
        <v>2.3083700000000023E-2</v>
      </c>
      <c r="E43" s="19">
        <v>30000000</v>
      </c>
      <c r="F43" s="20">
        <f t="shared" si="2"/>
        <v>0</v>
      </c>
      <c r="G43" s="20">
        <f t="shared" si="3"/>
        <v>12925.18</v>
      </c>
      <c r="H43" s="20">
        <v>42971225.279999994</v>
      </c>
      <c r="I43" s="20">
        <f>IF(H43="","",H43-H44)</f>
        <v>97739.039999999106</v>
      </c>
      <c r="J43" s="20">
        <f t="shared" si="4"/>
        <v>15546.92</v>
      </c>
      <c r="K43" s="17">
        <v>46326</v>
      </c>
      <c r="L43" s="18">
        <f t="shared" si="5"/>
        <v>6</v>
      </c>
      <c r="M43" s="274">
        <f t="shared" si="7"/>
        <v>2769.68</v>
      </c>
      <c r="N43" s="274">
        <f t="shared" si="6"/>
        <v>3331.48</v>
      </c>
    </row>
    <row r="44" spans="1:14" x14ac:dyDescent="0.3">
      <c r="A44" s="17">
        <v>46321</v>
      </c>
      <c r="B44" s="17">
        <f t="shared" si="0"/>
        <v>46352</v>
      </c>
      <c r="C44" s="18">
        <f t="shared" si="1"/>
        <v>31</v>
      </c>
      <c r="D44" s="4">
        <f>'Dettes - CORRA'!E34</f>
        <v>2.3083700000000013E-2</v>
      </c>
      <c r="E44" s="19">
        <v>30000000</v>
      </c>
      <c r="F44" s="20">
        <f t="shared" si="2"/>
        <v>0</v>
      </c>
      <c r="G44" s="20">
        <f t="shared" si="3"/>
        <v>14310.02</v>
      </c>
      <c r="H44" s="20">
        <v>42873486.239999995</v>
      </c>
      <c r="I44" s="20">
        <f t="shared" si="2"/>
        <v>80234.39999999851</v>
      </c>
      <c r="J44" s="20">
        <f t="shared" si="4"/>
        <v>17173.509999999998</v>
      </c>
      <c r="K44" s="17">
        <v>46356</v>
      </c>
      <c r="L44" s="18">
        <f t="shared" si="5"/>
        <v>5</v>
      </c>
      <c r="M44" s="274">
        <f t="shared" si="7"/>
        <v>2308.0700000000002</v>
      </c>
      <c r="N44" s="274">
        <f t="shared" si="6"/>
        <v>2769.92</v>
      </c>
    </row>
    <row r="45" spans="1:14" x14ac:dyDescent="0.3">
      <c r="A45" s="17">
        <v>46352</v>
      </c>
      <c r="B45" s="17">
        <f t="shared" si="0"/>
        <v>46385</v>
      </c>
      <c r="C45" s="18">
        <f t="shared" si="1"/>
        <v>33</v>
      </c>
      <c r="D45" s="4">
        <f>'Dettes - CORRA'!E35</f>
        <v>2.3083700000000013E-2</v>
      </c>
      <c r="E45" s="19">
        <v>30000000</v>
      </c>
      <c r="F45" s="20">
        <f t="shared" si="2"/>
        <v>0</v>
      </c>
      <c r="G45" s="20">
        <f t="shared" si="3"/>
        <v>15233.25</v>
      </c>
      <c r="H45" s="20">
        <v>42793251.839999996</v>
      </c>
      <c r="I45" s="20">
        <f t="shared" si="2"/>
        <v>68679.119999997318</v>
      </c>
      <c r="J45" s="20">
        <f t="shared" si="4"/>
        <v>18247.27</v>
      </c>
      <c r="K45" s="17">
        <v>46387</v>
      </c>
      <c r="L45" s="18">
        <f t="shared" si="5"/>
        <v>3</v>
      </c>
      <c r="M45" s="274">
        <f t="shared" si="7"/>
        <v>1384.84</v>
      </c>
      <c r="N45" s="274">
        <f t="shared" si="6"/>
        <v>1658.84</v>
      </c>
    </row>
    <row r="46" spans="1:14" x14ac:dyDescent="0.3">
      <c r="A46" s="17">
        <v>46385</v>
      </c>
      <c r="B46" s="17">
        <f t="shared" si="0"/>
        <v>46413</v>
      </c>
      <c r="C46" s="18">
        <f t="shared" si="1"/>
        <v>28</v>
      </c>
      <c r="D46" s="4"/>
      <c r="E46" s="19">
        <v>30000000</v>
      </c>
      <c r="F46" s="20">
        <f t="shared" si="2"/>
        <v>0</v>
      </c>
      <c r="G46" s="20" t="str">
        <f t="shared" si="3"/>
        <v/>
      </c>
      <c r="H46" s="20">
        <v>42724572.719999999</v>
      </c>
      <c r="I46" s="20">
        <f t="shared" si="2"/>
        <v>98699.390000000596</v>
      </c>
      <c r="J46" s="20" t="str">
        <f t="shared" si="4"/>
        <v/>
      </c>
      <c r="K46" s="17">
        <v>46418</v>
      </c>
      <c r="L46" s="18">
        <f t="shared" si="5"/>
        <v>6</v>
      </c>
      <c r="M46" s="274" t="str">
        <f t="shared" si="7"/>
        <v/>
      </c>
      <c r="N46" s="274" t="str">
        <f t="shared" si="6"/>
        <v/>
      </c>
    </row>
    <row r="47" spans="1:14" x14ac:dyDescent="0.3">
      <c r="A47" s="17">
        <v>46413</v>
      </c>
      <c r="B47" s="17">
        <f t="shared" si="0"/>
        <v>46444</v>
      </c>
      <c r="C47" s="18">
        <f t="shared" si="1"/>
        <v>31</v>
      </c>
      <c r="D47" s="4"/>
      <c r="E47" s="19">
        <v>30000000</v>
      </c>
      <c r="F47" s="20">
        <f t="shared" si="2"/>
        <v>0</v>
      </c>
      <c r="G47" s="20" t="str">
        <f t="shared" si="3"/>
        <v/>
      </c>
      <c r="H47" s="20">
        <v>42625873.329999998</v>
      </c>
      <c r="I47" s="20">
        <f t="shared" si="2"/>
        <v>81301.780000001192</v>
      </c>
      <c r="J47" s="20" t="str">
        <f t="shared" si="4"/>
        <v/>
      </c>
      <c r="K47" s="17">
        <v>46446</v>
      </c>
      <c r="L47" s="18">
        <f t="shared" si="5"/>
        <v>3</v>
      </c>
      <c r="M47" s="274" t="str">
        <f t="shared" si="7"/>
        <v/>
      </c>
      <c r="N47" s="274" t="str">
        <f t="shared" si="6"/>
        <v/>
      </c>
    </row>
    <row r="48" spans="1:14" x14ac:dyDescent="0.3">
      <c r="A48" s="17">
        <v>46444</v>
      </c>
      <c r="B48" s="17">
        <f t="shared" si="0"/>
        <v>46475</v>
      </c>
      <c r="C48" s="18">
        <f t="shared" si="1"/>
        <v>31</v>
      </c>
      <c r="D48" s="4"/>
      <c r="E48" s="19">
        <v>30000000</v>
      </c>
      <c r="F48" s="20">
        <f t="shared" si="2"/>
        <v>0</v>
      </c>
      <c r="G48" s="20" t="str">
        <f t="shared" si="3"/>
        <v/>
      </c>
      <c r="H48" s="20">
        <v>42544571.549999997</v>
      </c>
      <c r="I48" s="20">
        <f t="shared" si="2"/>
        <v>81652.25</v>
      </c>
      <c r="J48" s="20" t="str">
        <f t="shared" si="4"/>
        <v/>
      </c>
      <c r="K48" s="17">
        <v>46477</v>
      </c>
      <c r="L48" s="18">
        <f t="shared" si="5"/>
        <v>3</v>
      </c>
      <c r="M48" s="274" t="str">
        <f t="shared" si="7"/>
        <v/>
      </c>
      <c r="N48" s="274" t="str">
        <f t="shared" si="6"/>
        <v/>
      </c>
    </row>
    <row r="49" spans="1:14" x14ac:dyDescent="0.3">
      <c r="A49" s="17">
        <v>46475</v>
      </c>
      <c r="B49" s="17">
        <f t="shared" si="0"/>
        <v>46503</v>
      </c>
      <c r="C49" s="18">
        <f t="shared" si="1"/>
        <v>28</v>
      </c>
      <c r="D49" s="4"/>
      <c r="E49" s="19">
        <v>30000000</v>
      </c>
      <c r="F49" s="20">
        <f t="shared" si="2"/>
        <v>0</v>
      </c>
      <c r="G49" s="20" t="str">
        <f t="shared" si="3"/>
        <v/>
      </c>
      <c r="H49" s="20">
        <v>42462919.299999997</v>
      </c>
      <c r="I49" s="20">
        <f t="shared" si="2"/>
        <v>99718.140000000596</v>
      </c>
      <c r="J49" s="20" t="str">
        <f t="shared" si="4"/>
        <v/>
      </c>
      <c r="K49" s="17">
        <v>46507</v>
      </c>
      <c r="L49" s="18">
        <f t="shared" si="5"/>
        <v>5</v>
      </c>
      <c r="M49" s="274" t="str">
        <f t="shared" si="7"/>
        <v/>
      </c>
      <c r="N49" s="274" t="str">
        <f t="shared" si="6"/>
        <v/>
      </c>
    </row>
    <row r="50" spans="1:14" x14ac:dyDescent="0.3">
      <c r="A50" s="17">
        <v>46503</v>
      </c>
      <c r="B50" s="17">
        <f t="shared" si="0"/>
        <v>46533</v>
      </c>
      <c r="C50" s="18">
        <f t="shared" si="1"/>
        <v>30</v>
      </c>
      <c r="D50" s="4"/>
      <c r="E50" s="19">
        <v>30000000</v>
      </c>
      <c r="F50" s="20">
        <f t="shared" si="2"/>
        <v>0</v>
      </c>
      <c r="G50" s="20" t="str">
        <f t="shared" si="3"/>
        <v/>
      </c>
      <c r="H50" s="20">
        <v>42363201.159999996</v>
      </c>
      <c r="I50" s="20">
        <f t="shared" si="2"/>
        <v>88324.85000000149</v>
      </c>
      <c r="J50" s="20" t="str">
        <f t="shared" si="4"/>
        <v/>
      </c>
      <c r="K50" s="17">
        <v>46538</v>
      </c>
      <c r="L50" s="18">
        <f t="shared" si="5"/>
        <v>6</v>
      </c>
      <c r="M50" s="274" t="str">
        <f t="shared" si="7"/>
        <v/>
      </c>
      <c r="N50" s="274" t="str">
        <f t="shared" si="6"/>
        <v/>
      </c>
    </row>
    <row r="51" spans="1:14" x14ac:dyDescent="0.3">
      <c r="A51" s="17">
        <v>46533</v>
      </c>
      <c r="B51" s="17">
        <f t="shared" si="0"/>
        <v>46566</v>
      </c>
      <c r="C51" s="18">
        <f t="shared" si="1"/>
        <v>33</v>
      </c>
      <c r="D51" s="4"/>
      <c r="E51" s="19">
        <v>30000000</v>
      </c>
      <c r="F51" s="20">
        <f t="shared" si="2"/>
        <v>0</v>
      </c>
      <c r="G51" s="20" t="str">
        <f t="shared" si="3"/>
        <v/>
      </c>
      <c r="H51" s="20">
        <v>42274876.309999995</v>
      </c>
      <c r="I51" s="20">
        <f t="shared" si="2"/>
        <v>71057.840000003576</v>
      </c>
      <c r="J51" s="20" t="str">
        <f t="shared" si="4"/>
        <v/>
      </c>
      <c r="K51" s="17">
        <v>46568</v>
      </c>
      <c r="L51" s="18">
        <f t="shared" si="5"/>
        <v>3</v>
      </c>
      <c r="M51" s="274" t="str">
        <f t="shared" si="7"/>
        <v/>
      </c>
      <c r="N51" s="274" t="str">
        <f t="shared" si="6"/>
        <v/>
      </c>
    </row>
    <row r="52" spans="1:14" x14ac:dyDescent="0.3">
      <c r="A52" s="17">
        <v>46566</v>
      </c>
      <c r="B52" s="17">
        <f t="shared" si="0"/>
        <v>46594</v>
      </c>
      <c r="C52" s="18">
        <f t="shared" si="1"/>
        <v>28</v>
      </c>
      <c r="D52" s="4"/>
      <c r="E52" s="19">
        <v>30000000</v>
      </c>
      <c r="F52" s="20">
        <f t="shared" si="2"/>
        <v>0</v>
      </c>
      <c r="G52" s="20" t="str">
        <f t="shared" si="3"/>
        <v/>
      </c>
      <c r="H52" s="20">
        <v>42203818.469999991</v>
      </c>
      <c r="I52" s="20">
        <f t="shared" si="2"/>
        <v>100726.95000000298</v>
      </c>
      <c r="J52" s="20" t="str">
        <f t="shared" si="4"/>
        <v/>
      </c>
      <c r="K52" s="17">
        <v>46599</v>
      </c>
      <c r="L52" s="18">
        <f t="shared" si="5"/>
        <v>6</v>
      </c>
      <c r="M52" s="274" t="str">
        <f t="shared" si="7"/>
        <v/>
      </c>
      <c r="N52" s="274" t="str">
        <f t="shared" si="6"/>
        <v/>
      </c>
    </row>
    <row r="53" spans="1:14" x14ac:dyDescent="0.3">
      <c r="A53" s="17">
        <v>46594</v>
      </c>
      <c r="B53" s="17">
        <f t="shared" si="0"/>
        <v>46625</v>
      </c>
      <c r="C53" s="18">
        <f t="shared" si="1"/>
        <v>31</v>
      </c>
      <c r="D53" s="4"/>
      <c r="E53" s="19">
        <v>30000000</v>
      </c>
      <c r="F53" s="20">
        <f t="shared" si="2"/>
        <v>0</v>
      </c>
      <c r="G53" s="20" t="str">
        <f t="shared" si="3"/>
        <v/>
      </c>
      <c r="H53" s="20">
        <v>42103091.519999988</v>
      </c>
      <c r="I53" s="20">
        <f t="shared" si="2"/>
        <v>83555.320000000298</v>
      </c>
      <c r="J53" s="20" t="str">
        <f t="shared" si="4"/>
        <v/>
      </c>
      <c r="K53" s="17">
        <v>46630</v>
      </c>
      <c r="L53" s="18">
        <f t="shared" si="5"/>
        <v>6</v>
      </c>
      <c r="M53" s="274" t="str">
        <f t="shared" si="7"/>
        <v/>
      </c>
      <c r="N53" s="274" t="str">
        <f t="shared" si="6"/>
        <v/>
      </c>
    </row>
    <row r="54" spans="1:14" x14ac:dyDescent="0.3">
      <c r="A54" s="17">
        <v>46625</v>
      </c>
      <c r="B54" s="17">
        <f t="shared" si="0"/>
        <v>46657</v>
      </c>
      <c r="C54" s="18">
        <f t="shared" si="1"/>
        <v>32</v>
      </c>
      <c r="D54" s="4"/>
      <c r="E54" s="19">
        <v>30000000</v>
      </c>
      <c r="F54" s="20">
        <f t="shared" si="2"/>
        <v>0</v>
      </c>
      <c r="G54" s="20" t="str">
        <f t="shared" si="3"/>
        <v/>
      </c>
      <c r="H54" s="20">
        <v>42019536.199999988</v>
      </c>
      <c r="I54" s="20">
        <f t="shared" si="2"/>
        <v>78072.520000003278</v>
      </c>
      <c r="J54" s="20" t="str">
        <f t="shared" si="4"/>
        <v/>
      </c>
      <c r="K54" s="17">
        <v>46660</v>
      </c>
      <c r="L54" s="18">
        <f t="shared" si="5"/>
        <v>4</v>
      </c>
      <c r="M54" s="274" t="str">
        <f t="shared" si="7"/>
        <v/>
      </c>
      <c r="N54" s="274" t="str">
        <f t="shared" si="6"/>
        <v/>
      </c>
    </row>
    <row r="55" spans="1:14" x14ac:dyDescent="0.3">
      <c r="A55" s="17">
        <v>46657</v>
      </c>
      <c r="B55" s="17">
        <f t="shared" si="0"/>
        <v>46686</v>
      </c>
      <c r="C55" s="18">
        <f t="shared" si="1"/>
        <v>29</v>
      </c>
      <c r="D55" s="4"/>
      <c r="E55" s="19">
        <v>30000000</v>
      </c>
      <c r="F55" s="20">
        <f t="shared" si="2"/>
        <v>0</v>
      </c>
      <c r="G55" s="20" t="str">
        <f t="shared" si="3"/>
        <v/>
      </c>
      <c r="H55" s="20">
        <v>41941463.679999985</v>
      </c>
      <c r="I55" s="20">
        <f t="shared" si="2"/>
        <v>95916.29999999702</v>
      </c>
      <c r="J55" s="20" t="str">
        <f t="shared" si="4"/>
        <v/>
      </c>
      <c r="K55" s="17">
        <v>46691</v>
      </c>
      <c r="L55" s="18">
        <f t="shared" si="5"/>
        <v>6</v>
      </c>
      <c r="M55" s="274" t="str">
        <f t="shared" si="7"/>
        <v/>
      </c>
      <c r="N55" s="274" t="str">
        <f t="shared" si="6"/>
        <v/>
      </c>
    </row>
    <row r="56" spans="1:14" x14ac:dyDescent="0.3">
      <c r="A56" s="17">
        <v>46686</v>
      </c>
      <c r="B56" s="17">
        <f t="shared" si="0"/>
        <v>46717</v>
      </c>
      <c r="C56" s="18">
        <f t="shared" si="1"/>
        <v>31</v>
      </c>
      <c r="D56" s="4"/>
      <c r="E56" s="19">
        <v>30000000</v>
      </c>
      <c r="F56" s="20">
        <f t="shared" si="2"/>
        <v>0</v>
      </c>
      <c r="G56" s="20" t="str">
        <f t="shared" si="3"/>
        <v/>
      </c>
      <c r="H56" s="20">
        <v>41845547.379999988</v>
      </c>
      <c r="I56" s="20">
        <f t="shared" si="2"/>
        <v>84665.509999997914</v>
      </c>
      <c r="J56" s="20" t="str">
        <f t="shared" si="4"/>
        <v/>
      </c>
      <c r="K56" s="17">
        <v>46721</v>
      </c>
      <c r="L56" s="18">
        <f t="shared" si="5"/>
        <v>5</v>
      </c>
      <c r="M56" s="274" t="str">
        <f t="shared" si="7"/>
        <v/>
      </c>
      <c r="N56" s="274" t="str">
        <f t="shared" si="6"/>
        <v/>
      </c>
    </row>
    <row r="57" spans="1:14" x14ac:dyDescent="0.3">
      <c r="A57" s="17">
        <v>46717</v>
      </c>
      <c r="B57" s="17">
        <f t="shared" si="0"/>
        <v>46750</v>
      </c>
      <c r="C57" s="18">
        <f t="shared" si="1"/>
        <v>33</v>
      </c>
      <c r="D57" s="4"/>
      <c r="E57" s="19">
        <v>30000000</v>
      </c>
      <c r="F57" s="20">
        <f t="shared" si="2"/>
        <v>0</v>
      </c>
      <c r="G57" s="20" t="str">
        <f t="shared" si="3"/>
        <v/>
      </c>
      <c r="H57" s="20">
        <v>41760881.86999999</v>
      </c>
      <c r="I57" s="20">
        <f t="shared" si="2"/>
        <v>73416.439999997616</v>
      </c>
      <c r="J57" s="20" t="str">
        <f t="shared" si="4"/>
        <v/>
      </c>
      <c r="K57" s="17">
        <v>46752</v>
      </c>
      <c r="L57" s="18">
        <f t="shared" si="5"/>
        <v>3</v>
      </c>
      <c r="M57" s="274" t="str">
        <f t="shared" si="7"/>
        <v/>
      </c>
      <c r="N57" s="274" t="str">
        <f t="shared" si="6"/>
        <v/>
      </c>
    </row>
    <row r="58" spans="1:14" x14ac:dyDescent="0.3">
      <c r="A58" s="17">
        <v>46750</v>
      </c>
      <c r="B58" s="17">
        <f t="shared" si="0"/>
        <v>46778</v>
      </c>
      <c r="C58" s="18">
        <f t="shared" si="1"/>
        <v>28</v>
      </c>
      <c r="D58" s="4"/>
      <c r="E58" s="19">
        <v>30000000</v>
      </c>
      <c r="F58" s="20">
        <f t="shared" si="2"/>
        <v>0</v>
      </c>
      <c r="G58" s="20" t="str">
        <f t="shared" si="3"/>
        <v/>
      </c>
      <c r="H58" s="20">
        <v>41687465.429999992</v>
      </c>
      <c r="I58" s="20">
        <f t="shared" si="2"/>
        <v>102737.38000000268</v>
      </c>
      <c r="J58" s="20" t="str">
        <f t="shared" si="4"/>
        <v/>
      </c>
      <c r="K58" s="17">
        <v>46783</v>
      </c>
      <c r="L58" s="18">
        <f t="shared" si="5"/>
        <v>6</v>
      </c>
      <c r="M58" s="274" t="str">
        <f t="shared" si="7"/>
        <v/>
      </c>
      <c r="N58" s="274" t="str">
        <f t="shared" si="6"/>
        <v/>
      </c>
    </row>
    <row r="59" spans="1:14" x14ac:dyDescent="0.3">
      <c r="A59" s="17">
        <v>46778</v>
      </c>
      <c r="B59" s="17">
        <f t="shared" si="0"/>
        <v>46811</v>
      </c>
      <c r="C59" s="18">
        <f t="shared" si="1"/>
        <v>33</v>
      </c>
      <c r="D59" s="4"/>
      <c r="E59" s="19">
        <v>30000000</v>
      </c>
      <c r="F59" s="20">
        <f t="shared" si="2"/>
        <v>0</v>
      </c>
      <c r="G59" s="20" t="str">
        <f t="shared" si="3"/>
        <v/>
      </c>
      <c r="H59" s="20">
        <v>41584728.04999999</v>
      </c>
      <c r="I59" s="20">
        <f t="shared" si="2"/>
        <v>74224.780000001192</v>
      </c>
      <c r="J59" s="20" t="str">
        <f t="shared" si="4"/>
        <v/>
      </c>
      <c r="K59" s="17">
        <v>46812</v>
      </c>
      <c r="L59" s="18">
        <f t="shared" si="5"/>
        <v>2</v>
      </c>
      <c r="M59" s="274" t="str">
        <f t="shared" si="7"/>
        <v/>
      </c>
      <c r="N59" s="274" t="str">
        <f t="shared" si="6"/>
        <v/>
      </c>
    </row>
    <row r="60" spans="1:14" x14ac:dyDescent="0.3">
      <c r="A60" s="17">
        <v>46811</v>
      </c>
      <c r="B60" s="17">
        <f t="shared" si="0"/>
        <v>46839</v>
      </c>
      <c r="C60" s="18">
        <f t="shared" si="1"/>
        <v>28</v>
      </c>
      <c r="D60" s="4"/>
      <c r="E60" s="19">
        <v>30000000</v>
      </c>
      <c r="F60" s="20">
        <f t="shared" si="2"/>
        <v>0</v>
      </c>
      <c r="G60" s="20" t="str">
        <f t="shared" si="3"/>
        <v/>
      </c>
      <c r="H60" s="20">
        <v>41510503.269999988</v>
      </c>
      <c r="I60" s="20">
        <f t="shared" si="2"/>
        <v>103426.38000000268</v>
      </c>
      <c r="J60" s="20" t="str">
        <f t="shared" si="4"/>
        <v/>
      </c>
      <c r="K60" s="17">
        <v>46843</v>
      </c>
      <c r="L60" s="18">
        <f t="shared" si="5"/>
        <v>5</v>
      </c>
      <c r="M60" s="274" t="str">
        <f t="shared" si="7"/>
        <v/>
      </c>
      <c r="N60" s="274" t="str">
        <f t="shared" si="6"/>
        <v/>
      </c>
    </row>
    <row r="61" spans="1:14" x14ac:dyDescent="0.3">
      <c r="A61" s="17">
        <v>46839</v>
      </c>
      <c r="B61" s="17">
        <f t="shared" si="0"/>
        <v>46869</v>
      </c>
      <c r="C61" s="18">
        <f t="shared" si="1"/>
        <v>30</v>
      </c>
      <c r="D61" s="4"/>
      <c r="E61" s="19">
        <v>30000000</v>
      </c>
      <c r="F61" s="20">
        <f t="shared" si="2"/>
        <v>0</v>
      </c>
      <c r="G61" s="20" t="str">
        <f t="shared" si="3"/>
        <v/>
      </c>
      <c r="H61" s="20">
        <v>41407076.889999986</v>
      </c>
      <c r="I61" s="20">
        <f t="shared" si="2"/>
        <v>92313.429999999702</v>
      </c>
      <c r="J61" s="20" t="str">
        <f t="shared" si="4"/>
        <v/>
      </c>
      <c r="K61" s="17">
        <v>46873</v>
      </c>
      <c r="L61" s="18">
        <f t="shared" si="5"/>
        <v>5</v>
      </c>
      <c r="M61" s="274" t="str">
        <f t="shared" si="7"/>
        <v/>
      </c>
      <c r="N61" s="274" t="str">
        <f t="shared" si="6"/>
        <v/>
      </c>
    </row>
    <row r="62" spans="1:14" x14ac:dyDescent="0.3">
      <c r="A62" s="17">
        <v>46869</v>
      </c>
      <c r="B62" s="17">
        <f t="shared" si="0"/>
        <v>46899</v>
      </c>
      <c r="C62" s="18">
        <f t="shared" si="1"/>
        <v>30</v>
      </c>
      <c r="D62" s="4"/>
      <c r="E62" s="19">
        <v>30000000</v>
      </c>
      <c r="F62" s="20">
        <f t="shared" si="2"/>
        <v>0</v>
      </c>
      <c r="G62" s="20" t="str">
        <f t="shared" si="3"/>
        <v/>
      </c>
      <c r="H62" s="20">
        <v>41314763.459999986</v>
      </c>
      <c r="I62" s="20">
        <f t="shared" si="2"/>
        <v>92698.530000001192</v>
      </c>
      <c r="J62" s="20" t="str">
        <f t="shared" si="4"/>
        <v/>
      </c>
      <c r="K62" s="17">
        <v>46904</v>
      </c>
      <c r="L62" s="18">
        <f t="shared" si="5"/>
        <v>6</v>
      </c>
      <c r="M62" s="274" t="str">
        <f t="shared" si="7"/>
        <v/>
      </c>
      <c r="N62" s="274" t="str">
        <f t="shared" si="6"/>
        <v/>
      </c>
    </row>
    <row r="63" spans="1:14" x14ac:dyDescent="0.3">
      <c r="A63" s="17">
        <v>46899</v>
      </c>
      <c r="B63" s="17">
        <f t="shared" si="0"/>
        <v>46931</v>
      </c>
      <c r="C63" s="18">
        <f t="shared" si="1"/>
        <v>32</v>
      </c>
      <c r="D63" s="4"/>
      <c r="E63" s="19">
        <v>30000000</v>
      </c>
      <c r="F63" s="20">
        <f t="shared" si="2"/>
        <v>0</v>
      </c>
      <c r="G63" s="20" t="str">
        <f t="shared" si="3"/>
        <v/>
      </c>
      <c r="H63" s="20">
        <v>41222064.929999985</v>
      </c>
      <c r="I63" s="20">
        <f t="shared" si="2"/>
        <v>81621.04999999702</v>
      </c>
      <c r="J63" s="20" t="str">
        <f t="shared" si="4"/>
        <v/>
      </c>
      <c r="K63" s="17">
        <v>46934</v>
      </c>
      <c r="L63" s="18">
        <f t="shared" si="5"/>
        <v>4</v>
      </c>
      <c r="M63" s="274" t="str">
        <f t="shared" si="7"/>
        <v/>
      </c>
      <c r="N63" s="274" t="str">
        <f t="shared" si="6"/>
        <v/>
      </c>
    </row>
    <row r="64" spans="1:14" x14ac:dyDescent="0.3">
      <c r="A64" s="17">
        <v>46931</v>
      </c>
      <c r="B64" s="17">
        <f t="shared" si="0"/>
        <v>46960</v>
      </c>
      <c r="C64" s="18">
        <f t="shared" si="1"/>
        <v>29</v>
      </c>
      <c r="D64" s="4"/>
      <c r="E64" s="19">
        <v>30000000</v>
      </c>
      <c r="F64" s="20">
        <f t="shared" si="2"/>
        <v>0</v>
      </c>
      <c r="G64" s="20" t="str">
        <f t="shared" si="3"/>
        <v/>
      </c>
      <c r="H64" s="20">
        <v>41140443.879999988</v>
      </c>
      <c r="I64" s="20">
        <f t="shared" si="2"/>
        <v>99146.469999998808</v>
      </c>
      <c r="J64" s="20" t="str">
        <f t="shared" si="4"/>
        <v/>
      </c>
      <c r="K64" s="17">
        <v>46965</v>
      </c>
      <c r="L64" s="18">
        <f t="shared" si="5"/>
        <v>6</v>
      </c>
      <c r="M64" s="274" t="str">
        <f t="shared" si="7"/>
        <v/>
      </c>
      <c r="N64" s="274" t="str">
        <f t="shared" si="6"/>
        <v/>
      </c>
    </row>
    <row r="65" spans="1:14" x14ac:dyDescent="0.3">
      <c r="A65" s="17">
        <v>46960</v>
      </c>
      <c r="B65" s="17">
        <f t="shared" si="0"/>
        <v>46993</v>
      </c>
      <c r="C65" s="18">
        <f t="shared" si="1"/>
        <v>33</v>
      </c>
      <c r="D65" s="4"/>
      <c r="E65" s="19">
        <v>30000000</v>
      </c>
      <c r="F65" s="20">
        <f t="shared" si="2"/>
        <v>0</v>
      </c>
      <c r="G65" s="20" t="str">
        <f t="shared" si="3"/>
        <v/>
      </c>
      <c r="H65" s="20">
        <v>41041297.409999989</v>
      </c>
      <c r="I65" s="20">
        <f t="shared" si="2"/>
        <v>76718.460000000894</v>
      </c>
      <c r="J65" s="20" t="str">
        <f t="shared" si="4"/>
        <v/>
      </c>
      <c r="K65" s="17">
        <v>46996</v>
      </c>
      <c r="L65" s="18">
        <f t="shared" si="5"/>
        <v>4</v>
      </c>
      <c r="M65" s="274" t="str">
        <f t="shared" si="7"/>
        <v/>
      </c>
      <c r="N65" s="274" t="str">
        <f t="shared" si="6"/>
        <v/>
      </c>
    </row>
    <row r="66" spans="1:14" x14ac:dyDescent="0.3">
      <c r="A66" s="17">
        <v>46993</v>
      </c>
      <c r="B66" s="17">
        <f t="shared" si="0"/>
        <v>47022</v>
      </c>
      <c r="C66" s="18">
        <f t="shared" si="1"/>
        <v>29</v>
      </c>
      <c r="D66" s="4"/>
      <c r="E66" s="19">
        <v>30000000</v>
      </c>
      <c r="F66" s="20">
        <f t="shared" si="2"/>
        <v>0</v>
      </c>
      <c r="G66" s="20" t="str">
        <f t="shared" si="3"/>
        <v/>
      </c>
      <c r="H66" s="20">
        <v>40964578.949999988</v>
      </c>
      <c r="I66" s="20">
        <f t="shared" si="2"/>
        <v>99855.64999999851</v>
      </c>
      <c r="J66" s="20" t="str">
        <f t="shared" si="4"/>
        <v/>
      </c>
      <c r="K66" s="17">
        <v>47026</v>
      </c>
      <c r="L66" s="18">
        <f t="shared" si="5"/>
        <v>5</v>
      </c>
      <c r="M66" s="274" t="str">
        <f t="shared" si="7"/>
        <v/>
      </c>
      <c r="N66" s="274" t="str">
        <f t="shared" si="6"/>
        <v/>
      </c>
    </row>
    <row r="67" spans="1:14" x14ac:dyDescent="0.3">
      <c r="A67" s="17">
        <v>47022</v>
      </c>
      <c r="B67" s="17">
        <f t="shared" si="0"/>
        <v>47052</v>
      </c>
      <c r="C67" s="18">
        <f t="shared" si="1"/>
        <v>30</v>
      </c>
      <c r="D67" s="4"/>
      <c r="E67" s="19">
        <v>30000000</v>
      </c>
      <c r="F67" s="20">
        <f t="shared" si="2"/>
        <v>0</v>
      </c>
      <c r="G67" s="20" t="str">
        <f t="shared" si="3"/>
        <v/>
      </c>
      <c r="H67" s="20">
        <v>40864723.29999999</v>
      </c>
      <c r="I67" s="20">
        <f t="shared" si="2"/>
        <v>94575.929999999702</v>
      </c>
      <c r="J67" s="20" t="str">
        <f t="shared" si="4"/>
        <v/>
      </c>
      <c r="K67" s="17">
        <v>47057</v>
      </c>
      <c r="L67" s="18">
        <f t="shared" si="5"/>
        <v>6</v>
      </c>
      <c r="M67" s="274" t="str">
        <f t="shared" si="7"/>
        <v/>
      </c>
      <c r="N67" s="274" t="str">
        <f t="shared" si="6"/>
        <v/>
      </c>
    </row>
    <row r="68" spans="1:14" x14ac:dyDescent="0.3">
      <c r="A68" s="17">
        <v>47052</v>
      </c>
      <c r="B68" s="17">
        <f t="shared" si="0"/>
        <v>47084</v>
      </c>
      <c r="C68" s="18">
        <f t="shared" si="1"/>
        <v>32</v>
      </c>
      <c r="D68" s="4"/>
      <c r="E68" s="19">
        <v>30000000</v>
      </c>
      <c r="F68" s="20">
        <f t="shared" si="2"/>
        <v>0</v>
      </c>
      <c r="G68" s="20" t="str">
        <f t="shared" si="3"/>
        <v/>
      </c>
      <c r="H68" s="20">
        <v>40770147.36999999</v>
      </c>
      <c r="I68" s="20">
        <f t="shared" si="2"/>
        <v>83631.960000000894</v>
      </c>
      <c r="J68" s="20" t="str">
        <f t="shared" si="4"/>
        <v/>
      </c>
      <c r="K68" s="17">
        <v>47087</v>
      </c>
      <c r="L68" s="18">
        <f t="shared" si="5"/>
        <v>4</v>
      </c>
      <c r="M68" s="274" t="str">
        <f t="shared" si="7"/>
        <v/>
      </c>
      <c r="N68" s="274" t="str">
        <f t="shared" si="6"/>
        <v/>
      </c>
    </row>
    <row r="69" spans="1:14" x14ac:dyDescent="0.3">
      <c r="A69" s="17">
        <v>47084</v>
      </c>
      <c r="B69" s="17">
        <f t="shared" si="0"/>
        <v>47114</v>
      </c>
      <c r="C69" s="18">
        <f t="shared" si="1"/>
        <v>30</v>
      </c>
      <c r="D69" s="4"/>
      <c r="E69" s="19">
        <v>30000000</v>
      </c>
      <c r="F69" s="20">
        <f t="shared" si="2"/>
        <v>0</v>
      </c>
      <c r="G69" s="20" t="str">
        <f t="shared" si="3"/>
        <v/>
      </c>
      <c r="H69" s="20">
        <v>40686515.409999989</v>
      </c>
      <c r="I69" s="20">
        <f t="shared" si="2"/>
        <v>95319.340000003576</v>
      </c>
      <c r="J69" s="20" t="str">
        <f t="shared" si="4"/>
        <v/>
      </c>
      <c r="K69" s="17">
        <v>47118</v>
      </c>
      <c r="L69" s="18">
        <f t="shared" si="5"/>
        <v>5</v>
      </c>
      <c r="M69" s="274" t="str">
        <f t="shared" si="7"/>
        <v/>
      </c>
      <c r="N69" s="274" t="str">
        <f t="shared" si="6"/>
        <v/>
      </c>
    </row>
    <row r="70" spans="1:14" x14ac:dyDescent="0.3">
      <c r="A70" s="17">
        <v>47114</v>
      </c>
      <c r="B70" s="17">
        <f t="shared" si="0"/>
        <v>47144</v>
      </c>
      <c r="C70" s="18">
        <f t="shared" si="1"/>
        <v>30</v>
      </c>
      <c r="D70" s="4"/>
      <c r="E70" s="19">
        <v>30000000</v>
      </c>
      <c r="F70" s="20">
        <f t="shared" si="2"/>
        <v>0</v>
      </c>
      <c r="G70" s="20" t="str">
        <f t="shared" si="3"/>
        <v/>
      </c>
      <c r="H70" s="20">
        <v>40591196.069999985</v>
      </c>
      <c r="I70" s="20">
        <f t="shared" si="2"/>
        <v>95716.979999996722</v>
      </c>
      <c r="J70" s="20" t="str">
        <f t="shared" si="4"/>
        <v/>
      </c>
      <c r="K70" s="17">
        <v>47149</v>
      </c>
      <c r="L70" s="18">
        <f t="shared" si="5"/>
        <v>6</v>
      </c>
      <c r="M70" s="274" t="str">
        <f t="shared" si="7"/>
        <v/>
      </c>
      <c r="N70" s="274" t="str">
        <f t="shared" si="6"/>
        <v/>
      </c>
    </row>
    <row r="71" spans="1:14" x14ac:dyDescent="0.3">
      <c r="A71" s="17">
        <v>47144</v>
      </c>
      <c r="B71" s="17">
        <f t="shared" si="0"/>
        <v>47175</v>
      </c>
      <c r="C71" s="18">
        <f t="shared" si="1"/>
        <v>31</v>
      </c>
      <c r="D71" s="4"/>
      <c r="E71" s="19">
        <v>30000000</v>
      </c>
      <c r="F71" s="20">
        <f t="shared" si="2"/>
        <v>0</v>
      </c>
      <c r="G71" s="20" t="str">
        <f t="shared" si="3"/>
        <v/>
      </c>
      <c r="H71" s="20">
        <v>40495479.089999989</v>
      </c>
      <c r="I71" s="20">
        <f t="shared" si="2"/>
        <v>90485.219999998808</v>
      </c>
      <c r="J71" s="20" t="str">
        <f t="shared" si="4"/>
        <v/>
      </c>
      <c r="K71" s="17">
        <v>47177</v>
      </c>
      <c r="L71" s="18">
        <f t="shared" si="5"/>
        <v>3</v>
      </c>
      <c r="M71" s="274" t="str">
        <f t="shared" si="7"/>
        <v/>
      </c>
      <c r="N71" s="274" t="str">
        <f t="shared" si="6"/>
        <v/>
      </c>
    </row>
    <row r="72" spans="1:14" x14ac:dyDescent="0.3">
      <c r="A72" s="17">
        <v>47175</v>
      </c>
      <c r="B72" s="17">
        <f t="shared" si="0"/>
        <v>47203</v>
      </c>
      <c r="C72" s="18">
        <f t="shared" si="1"/>
        <v>28</v>
      </c>
      <c r="D72" s="4"/>
      <c r="E72" s="19">
        <v>30000000</v>
      </c>
      <c r="F72" s="20">
        <f t="shared" si="2"/>
        <v>0</v>
      </c>
      <c r="G72" s="20" t="str">
        <f t="shared" si="3"/>
        <v/>
      </c>
      <c r="H72" s="20">
        <v>40404993.86999999</v>
      </c>
      <c r="I72" s="20">
        <f t="shared" si="2"/>
        <v>107730.68999999762</v>
      </c>
      <c r="J72" s="20" t="str">
        <f t="shared" si="4"/>
        <v/>
      </c>
      <c r="K72" s="17">
        <v>47208</v>
      </c>
      <c r="L72" s="18">
        <f t="shared" si="5"/>
        <v>6</v>
      </c>
      <c r="M72" s="274" t="str">
        <f t="shared" si="7"/>
        <v/>
      </c>
      <c r="N72" s="274" t="str">
        <f t="shared" si="6"/>
        <v/>
      </c>
    </row>
    <row r="73" spans="1:14" x14ac:dyDescent="0.3">
      <c r="A73" s="17">
        <v>47203</v>
      </c>
      <c r="B73" s="17">
        <f t="shared" si="0"/>
        <v>47234</v>
      </c>
      <c r="C73" s="18">
        <f t="shared" si="1"/>
        <v>31</v>
      </c>
      <c r="D73" s="4"/>
      <c r="E73" s="19">
        <v>30000000</v>
      </c>
      <c r="F73" s="20">
        <f t="shared" si="2"/>
        <v>0</v>
      </c>
      <c r="G73" s="20" t="str">
        <f t="shared" si="3"/>
        <v/>
      </c>
      <c r="H73" s="20">
        <v>40297263.179999992</v>
      </c>
      <c r="I73" s="20">
        <f t="shared" si="2"/>
        <v>91339.659999996424</v>
      </c>
      <c r="J73" s="20" t="str">
        <f t="shared" si="4"/>
        <v/>
      </c>
      <c r="K73" s="17">
        <v>47238</v>
      </c>
      <c r="L73" s="18">
        <f t="shared" si="5"/>
        <v>5</v>
      </c>
      <c r="M73" s="274" t="str">
        <f t="shared" si="7"/>
        <v/>
      </c>
      <c r="N73" s="274" t="str">
        <f t="shared" si="6"/>
        <v/>
      </c>
    </row>
    <row r="74" spans="1:14" x14ac:dyDescent="0.3">
      <c r="A74" s="17">
        <v>47234</v>
      </c>
      <c r="B74" s="17">
        <f t="shared" si="0"/>
        <v>47266</v>
      </c>
      <c r="C74" s="18">
        <f t="shared" si="1"/>
        <v>32</v>
      </c>
      <c r="D74" s="4"/>
      <c r="E74" s="19">
        <v>30000000</v>
      </c>
      <c r="F74" s="20">
        <f t="shared" si="2"/>
        <v>0</v>
      </c>
      <c r="G74" s="20" t="str">
        <f t="shared" si="3"/>
        <v/>
      </c>
      <c r="H74" s="20">
        <v>40205923.519999996</v>
      </c>
      <c r="I74" s="20">
        <f t="shared" si="2"/>
        <v>86142.60000000149</v>
      </c>
      <c r="J74" s="20" t="str">
        <f t="shared" si="4"/>
        <v/>
      </c>
      <c r="K74" s="17">
        <v>47269</v>
      </c>
      <c r="L74" s="18">
        <f t="shared" si="5"/>
        <v>4</v>
      </c>
      <c r="M74" s="274" t="str">
        <f t="shared" si="7"/>
        <v/>
      </c>
      <c r="N74" s="274" t="str">
        <f t="shared" si="6"/>
        <v/>
      </c>
    </row>
    <row r="75" spans="1:14" x14ac:dyDescent="0.3">
      <c r="A75" s="17">
        <v>47266</v>
      </c>
      <c r="B75" s="17">
        <f t="shared" si="0"/>
        <v>47295</v>
      </c>
      <c r="C75" s="18">
        <f t="shared" si="1"/>
        <v>29</v>
      </c>
      <c r="D75" s="4"/>
      <c r="E75" s="19">
        <v>30000000</v>
      </c>
      <c r="F75" s="20">
        <f t="shared" si="2"/>
        <v>0</v>
      </c>
      <c r="G75" s="20" t="str">
        <f t="shared" si="3"/>
        <v/>
      </c>
      <c r="H75" s="20">
        <v>40119780.919999994</v>
      </c>
      <c r="I75" s="20">
        <f t="shared" si="2"/>
        <v>103262.3599999994</v>
      </c>
      <c r="J75" s="20" t="str">
        <f t="shared" si="4"/>
        <v/>
      </c>
      <c r="K75" s="17">
        <v>47299</v>
      </c>
      <c r="L75" s="18">
        <f t="shared" si="5"/>
        <v>5</v>
      </c>
      <c r="M75" s="274" t="str">
        <f t="shared" si="7"/>
        <v/>
      </c>
      <c r="N75" s="274" t="str">
        <f t="shared" si="6"/>
        <v/>
      </c>
    </row>
    <row r="76" spans="1:14" x14ac:dyDescent="0.3">
      <c r="A76" s="17">
        <v>47295</v>
      </c>
      <c r="B76" s="17">
        <f t="shared" si="0"/>
        <v>47325</v>
      </c>
      <c r="C76" s="18">
        <f t="shared" si="1"/>
        <v>30</v>
      </c>
      <c r="D76" s="4"/>
      <c r="E76" s="19">
        <v>30000000</v>
      </c>
      <c r="F76" s="20">
        <f t="shared" si="2"/>
        <v>0</v>
      </c>
      <c r="G76" s="20" t="str">
        <f t="shared" si="3"/>
        <v/>
      </c>
      <c r="H76" s="20">
        <v>40016518.559999995</v>
      </c>
      <c r="I76" s="20">
        <f>IF(H76="","",H76-H77)</f>
        <v>98114.310000002384</v>
      </c>
      <c r="J76" s="20" t="str">
        <f t="shared" si="4"/>
        <v/>
      </c>
      <c r="K76" s="17">
        <v>47330</v>
      </c>
      <c r="L76" s="18">
        <f t="shared" si="5"/>
        <v>6</v>
      </c>
      <c r="M76" s="274" t="str">
        <f t="shared" si="7"/>
        <v/>
      </c>
      <c r="N76" s="274" t="str">
        <f t="shared" si="6"/>
        <v/>
      </c>
    </row>
    <row r="77" spans="1:14" x14ac:dyDescent="0.3">
      <c r="A77" s="17">
        <v>47325</v>
      </c>
      <c r="B77" s="17">
        <f t="shared" si="0"/>
        <v>47357</v>
      </c>
      <c r="C77" s="18">
        <f t="shared" si="1"/>
        <v>32</v>
      </c>
      <c r="D77" s="4"/>
      <c r="E77" s="19">
        <v>30000000</v>
      </c>
      <c r="F77" s="20">
        <f t="shared" si="2"/>
        <v>0</v>
      </c>
      <c r="G77" s="20" t="str">
        <f t="shared" si="3"/>
        <v/>
      </c>
      <c r="H77" s="33">
        <v>39918404.249999993</v>
      </c>
      <c r="I77" s="32">
        <f>IF(H77="","",H77-H78)</f>
        <v>105721.24999999255</v>
      </c>
      <c r="J77" s="32"/>
      <c r="K77" s="17">
        <v>47361</v>
      </c>
      <c r="L77" s="18">
        <f t="shared" si="5"/>
        <v>5</v>
      </c>
      <c r="M77" s="274" t="str">
        <f t="shared" si="7"/>
        <v/>
      </c>
      <c r="N77" s="274" t="str">
        <f t="shared" si="6"/>
        <v/>
      </c>
    </row>
    <row r="78" spans="1:14" x14ac:dyDescent="0.3">
      <c r="A78" s="17">
        <v>47357</v>
      </c>
      <c r="B78" s="17">
        <f t="shared" si="0"/>
        <v>47387</v>
      </c>
      <c r="C78" s="18">
        <f t="shared" si="1"/>
        <v>30</v>
      </c>
      <c r="D78" s="4"/>
      <c r="E78" s="19">
        <v>30000000</v>
      </c>
      <c r="F78" s="20">
        <f t="shared" si="2"/>
        <v>0</v>
      </c>
      <c r="G78" s="20" t="str">
        <f t="shared" si="3"/>
        <v/>
      </c>
      <c r="H78" s="32">
        <v>39812683</v>
      </c>
      <c r="I78" s="32">
        <f>IF(H78="","",H78-H79)</f>
        <v>96657.929999999702</v>
      </c>
      <c r="J78" s="32"/>
      <c r="K78" s="17">
        <v>47391</v>
      </c>
      <c r="L78" s="18">
        <f t="shared" si="5"/>
        <v>5</v>
      </c>
      <c r="M78" s="274" t="str">
        <f t="shared" si="7"/>
        <v/>
      </c>
      <c r="N78" s="274" t="str">
        <f t="shared" si="6"/>
        <v/>
      </c>
    </row>
    <row r="79" spans="1:14" x14ac:dyDescent="0.3">
      <c r="A79" s="17">
        <v>47387</v>
      </c>
      <c r="B79" s="17">
        <f t="shared" si="0"/>
        <v>47417</v>
      </c>
      <c r="C79" s="18">
        <f t="shared" si="1"/>
        <v>30</v>
      </c>
      <c r="D79" s="4"/>
      <c r="E79" s="19">
        <v>30000000</v>
      </c>
      <c r="F79" s="20">
        <f t="shared" si="2"/>
        <v>0</v>
      </c>
      <c r="G79" s="20" t="str">
        <f t="shared" si="3"/>
        <v/>
      </c>
      <c r="H79" s="32">
        <v>39716025.07</v>
      </c>
      <c r="I79" s="32">
        <f t="shared" ref="I79:I137" si="8">IF(H79="","",H79-H80)</f>
        <v>97066.75</v>
      </c>
      <c r="J79" s="32"/>
      <c r="K79" s="17">
        <v>47422</v>
      </c>
      <c r="L79" s="18">
        <f t="shared" si="5"/>
        <v>6</v>
      </c>
      <c r="M79" s="274" t="str">
        <f t="shared" si="7"/>
        <v/>
      </c>
      <c r="N79" s="274" t="str">
        <f t="shared" si="6"/>
        <v/>
      </c>
    </row>
    <row r="80" spans="1:14" x14ac:dyDescent="0.3">
      <c r="A80" s="17">
        <v>47417</v>
      </c>
      <c r="B80" s="17">
        <f t="shared" si="0"/>
        <v>47448</v>
      </c>
      <c r="C80" s="18">
        <f t="shared" si="1"/>
        <v>31</v>
      </c>
      <c r="D80" s="4"/>
      <c r="E80" s="19">
        <v>30000000</v>
      </c>
      <c r="F80" s="20">
        <f t="shared" si="2"/>
        <v>0</v>
      </c>
      <c r="G80" s="20" t="str">
        <f t="shared" si="3"/>
        <v/>
      </c>
      <c r="H80" s="32">
        <v>39618958.32</v>
      </c>
      <c r="I80" s="32">
        <f t="shared" si="8"/>
        <v>97477.289999999106</v>
      </c>
      <c r="J80" s="32"/>
      <c r="K80" s="17">
        <v>47452</v>
      </c>
      <c r="L80" s="18">
        <f t="shared" si="5"/>
        <v>5</v>
      </c>
      <c r="M80" s="274" t="str">
        <f t="shared" si="7"/>
        <v/>
      </c>
      <c r="N80" s="274" t="str">
        <f t="shared" si="6"/>
        <v/>
      </c>
    </row>
    <row r="81" spans="1:14" x14ac:dyDescent="0.3">
      <c r="A81" s="17">
        <v>47448</v>
      </c>
      <c r="B81" s="17">
        <f t="shared" si="0"/>
        <v>47479</v>
      </c>
      <c r="C81" s="18">
        <f t="shared" si="1"/>
        <v>31</v>
      </c>
      <c r="D81" s="4"/>
      <c r="E81" s="19">
        <v>30000000</v>
      </c>
      <c r="F81" s="20">
        <f t="shared" si="2"/>
        <v>0</v>
      </c>
      <c r="G81" s="20" t="str">
        <f t="shared" si="3"/>
        <v/>
      </c>
      <c r="H81" s="32">
        <v>39521481.030000001</v>
      </c>
      <c r="I81" s="32">
        <f t="shared" si="8"/>
        <v>97889.579999998212</v>
      </c>
      <c r="J81" s="32"/>
      <c r="K81" s="17">
        <v>47483</v>
      </c>
      <c r="L81" s="18">
        <f t="shared" si="5"/>
        <v>5</v>
      </c>
      <c r="M81" s="274" t="str">
        <f t="shared" si="7"/>
        <v/>
      </c>
      <c r="N81" s="274" t="str">
        <f t="shared" si="6"/>
        <v/>
      </c>
    </row>
    <row r="82" spans="1:14" x14ac:dyDescent="0.3">
      <c r="A82" s="17">
        <v>47479</v>
      </c>
      <c r="B82" s="17">
        <f t="shared" ref="B82:B136" si="9">IF(A83="","",A83)</f>
        <v>47511</v>
      </c>
      <c r="C82" s="18">
        <f t="shared" ref="C82:C136" si="10">IF(A83="","",B82-A82)</f>
        <v>32</v>
      </c>
      <c r="D82" s="4"/>
      <c r="E82" s="19">
        <v>30000000</v>
      </c>
      <c r="F82" s="20">
        <f t="shared" ref="F82:F136" si="11">IF(E82="","",E82-E83)</f>
        <v>0</v>
      </c>
      <c r="G82" s="20" t="str">
        <f t="shared" ref="G82:G136" si="12">IF(D82="","",ROUND(E82*($B$12-D82)*C82/365,2))</f>
        <v/>
      </c>
      <c r="H82" s="32">
        <v>39423591.450000003</v>
      </c>
      <c r="I82" s="32">
        <f t="shared" si="8"/>
        <v>98303.620000004768</v>
      </c>
      <c r="J82" s="32"/>
      <c r="K82" s="17">
        <v>47514</v>
      </c>
      <c r="L82" s="18">
        <f t="shared" ref="L82:L135" si="13">IF(A83="","",K82-B82)+1</f>
        <v>4</v>
      </c>
      <c r="M82" s="274" t="str">
        <f t="shared" ref="M82:M137" si="14">IF(D82="","",ROUND(E82*($B$12-D82)*L82/365,2))</f>
        <v/>
      </c>
      <c r="N82" s="274" t="str">
        <f t="shared" ref="N82:N137" si="15">IF(D82="","",ROUND(H82*($C$12-D82)*L82/365,2))</f>
        <v/>
      </c>
    </row>
    <row r="83" spans="1:14" x14ac:dyDescent="0.3">
      <c r="A83" s="17">
        <v>47511</v>
      </c>
      <c r="B83" s="17">
        <f t="shared" si="9"/>
        <v>47540</v>
      </c>
      <c r="C83" s="18">
        <f t="shared" si="10"/>
        <v>29</v>
      </c>
      <c r="D83" s="4"/>
      <c r="E83" s="19">
        <v>30000000</v>
      </c>
      <c r="F83" s="20">
        <f t="shared" si="11"/>
        <v>0</v>
      </c>
      <c r="G83" s="20" t="str">
        <f t="shared" si="12"/>
        <v/>
      </c>
      <c r="H83" s="32">
        <v>39325287.829999998</v>
      </c>
      <c r="I83" s="32">
        <f t="shared" si="8"/>
        <v>98719.390000000596</v>
      </c>
      <c r="J83" s="32"/>
      <c r="K83" s="17">
        <v>47542</v>
      </c>
      <c r="L83" s="18">
        <f t="shared" si="13"/>
        <v>3</v>
      </c>
      <c r="M83" s="274" t="str">
        <f t="shared" si="14"/>
        <v/>
      </c>
      <c r="N83" s="274" t="str">
        <f t="shared" si="15"/>
        <v/>
      </c>
    </row>
    <row r="84" spans="1:14" x14ac:dyDescent="0.3">
      <c r="A84" s="17">
        <v>47540</v>
      </c>
      <c r="B84" s="17">
        <f t="shared" si="9"/>
        <v>47568</v>
      </c>
      <c r="C84" s="18">
        <f t="shared" si="10"/>
        <v>28</v>
      </c>
      <c r="D84" s="4"/>
      <c r="E84" s="19">
        <v>30000000</v>
      </c>
      <c r="F84" s="20">
        <f t="shared" si="11"/>
        <v>0</v>
      </c>
      <c r="G84" s="20" t="str">
        <f t="shared" si="12"/>
        <v/>
      </c>
      <c r="H84" s="32">
        <v>39226568.439999998</v>
      </c>
      <c r="I84" s="32">
        <f t="shared" si="8"/>
        <v>99136.929999999702</v>
      </c>
      <c r="J84" s="32"/>
      <c r="K84" s="17">
        <v>47573</v>
      </c>
      <c r="L84" s="18">
        <f t="shared" si="13"/>
        <v>6</v>
      </c>
      <c r="M84" s="274" t="str">
        <f t="shared" si="14"/>
        <v/>
      </c>
      <c r="N84" s="274" t="str">
        <f t="shared" si="15"/>
        <v/>
      </c>
    </row>
    <row r="85" spans="1:14" x14ac:dyDescent="0.3">
      <c r="A85" s="17">
        <v>47568</v>
      </c>
      <c r="B85" s="17">
        <f t="shared" si="9"/>
        <v>47599</v>
      </c>
      <c r="C85" s="18">
        <f t="shared" si="10"/>
        <v>31</v>
      </c>
      <c r="D85" s="4"/>
      <c r="E85" s="19">
        <v>30000000</v>
      </c>
      <c r="F85" s="20">
        <f t="shared" si="11"/>
        <v>0</v>
      </c>
      <c r="G85" s="20" t="str">
        <f t="shared" si="12"/>
        <v/>
      </c>
      <c r="H85" s="32">
        <v>39127431.509999998</v>
      </c>
      <c r="I85" s="32">
        <f t="shared" si="8"/>
        <v>99556.239999994636</v>
      </c>
      <c r="J85" s="32"/>
      <c r="K85" s="17">
        <v>47603</v>
      </c>
      <c r="L85" s="18">
        <f t="shared" si="13"/>
        <v>5</v>
      </c>
      <c r="M85" s="274" t="str">
        <f t="shared" si="14"/>
        <v/>
      </c>
      <c r="N85" s="274" t="str">
        <f t="shared" si="15"/>
        <v/>
      </c>
    </row>
    <row r="86" spans="1:14" x14ac:dyDescent="0.3">
      <c r="A86" s="17">
        <v>47599</v>
      </c>
      <c r="B86" s="17">
        <f t="shared" si="9"/>
        <v>47630</v>
      </c>
      <c r="C86" s="18">
        <f t="shared" si="10"/>
        <v>31</v>
      </c>
      <c r="D86" s="4"/>
      <c r="E86" s="19">
        <v>30000000</v>
      </c>
      <c r="F86" s="20">
        <f t="shared" si="11"/>
        <v>0</v>
      </c>
      <c r="G86" s="20" t="str">
        <f t="shared" si="12"/>
        <v/>
      </c>
      <c r="H86" s="32">
        <v>39027875.270000003</v>
      </c>
      <c r="I86" s="32">
        <f t="shared" si="8"/>
        <v>99977.310000002384</v>
      </c>
      <c r="J86" s="32"/>
      <c r="K86" s="17">
        <v>47634</v>
      </c>
      <c r="L86" s="18">
        <f t="shared" si="13"/>
        <v>5</v>
      </c>
      <c r="M86" s="274" t="str">
        <f t="shared" si="14"/>
        <v/>
      </c>
      <c r="N86" s="274" t="str">
        <f t="shared" si="15"/>
        <v/>
      </c>
    </row>
    <row r="87" spans="1:14" x14ac:dyDescent="0.3">
      <c r="A87" s="17">
        <v>47630</v>
      </c>
      <c r="B87" s="17">
        <f t="shared" si="9"/>
        <v>47660</v>
      </c>
      <c r="C87" s="18">
        <f t="shared" si="10"/>
        <v>30</v>
      </c>
      <c r="D87" s="4"/>
      <c r="E87" s="19">
        <v>30000000</v>
      </c>
      <c r="F87" s="20">
        <f t="shared" si="11"/>
        <v>0</v>
      </c>
      <c r="G87" s="20" t="str">
        <f t="shared" si="12"/>
        <v/>
      </c>
      <c r="H87" s="32">
        <v>38927897.960000001</v>
      </c>
      <c r="I87" s="32">
        <f t="shared" si="8"/>
        <v>100400.1799999997</v>
      </c>
      <c r="J87" s="32"/>
      <c r="K87" s="17">
        <v>47664</v>
      </c>
      <c r="L87" s="18">
        <f t="shared" si="13"/>
        <v>5</v>
      </c>
      <c r="M87" s="274" t="str">
        <f t="shared" si="14"/>
        <v/>
      </c>
      <c r="N87" s="274" t="str">
        <f t="shared" si="15"/>
        <v/>
      </c>
    </row>
    <row r="88" spans="1:14" x14ac:dyDescent="0.3">
      <c r="A88" s="17">
        <v>47660</v>
      </c>
      <c r="B88" s="17">
        <f t="shared" si="9"/>
        <v>47690</v>
      </c>
      <c r="C88" s="18">
        <f t="shared" si="10"/>
        <v>30</v>
      </c>
      <c r="D88" s="4"/>
      <c r="E88" s="19">
        <v>30000000</v>
      </c>
      <c r="F88" s="20">
        <f t="shared" si="11"/>
        <v>0</v>
      </c>
      <c r="G88" s="20" t="str">
        <f t="shared" si="12"/>
        <v/>
      </c>
      <c r="H88" s="32">
        <v>38827497.780000001</v>
      </c>
      <c r="I88" s="32">
        <f t="shared" si="8"/>
        <v>100824.82999999821</v>
      </c>
      <c r="J88" s="32"/>
      <c r="K88" s="17">
        <v>47695</v>
      </c>
      <c r="L88" s="18">
        <f t="shared" si="13"/>
        <v>6</v>
      </c>
      <c r="M88" s="274" t="str">
        <f t="shared" si="14"/>
        <v/>
      </c>
      <c r="N88" s="274" t="str">
        <f t="shared" si="15"/>
        <v/>
      </c>
    </row>
    <row r="89" spans="1:14" x14ac:dyDescent="0.3">
      <c r="A89" s="17">
        <v>47690</v>
      </c>
      <c r="B89" s="17">
        <f t="shared" si="9"/>
        <v>47721</v>
      </c>
      <c r="C89" s="18">
        <f t="shared" si="10"/>
        <v>31</v>
      </c>
      <c r="D89" s="4"/>
      <c r="E89" s="19">
        <v>30000000</v>
      </c>
      <c r="F89" s="20">
        <f t="shared" si="11"/>
        <v>0</v>
      </c>
      <c r="G89" s="20" t="str">
        <f t="shared" si="12"/>
        <v/>
      </c>
      <c r="H89" s="32">
        <v>38726672.950000003</v>
      </c>
      <c r="I89" s="32">
        <f t="shared" si="8"/>
        <v>101251.27000000328</v>
      </c>
      <c r="J89" s="32"/>
      <c r="K89" s="17">
        <v>47726</v>
      </c>
      <c r="L89" s="18">
        <f t="shared" si="13"/>
        <v>6</v>
      </c>
      <c r="M89" s="274" t="str">
        <f t="shared" si="14"/>
        <v/>
      </c>
      <c r="N89" s="274" t="str">
        <f t="shared" si="15"/>
        <v/>
      </c>
    </row>
    <row r="90" spans="1:14" x14ac:dyDescent="0.3">
      <c r="A90" s="17">
        <v>47721</v>
      </c>
      <c r="B90" s="17">
        <f t="shared" si="9"/>
        <v>47752</v>
      </c>
      <c r="C90" s="18">
        <f t="shared" si="10"/>
        <v>31</v>
      </c>
      <c r="D90" s="4"/>
      <c r="E90" s="19">
        <v>30000000</v>
      </c>
      <c r="F90" s="20">
        <f t="shared" si="11"/>
        <v>0</v>
      </c>
      <c r="G90" s="20" t="str">
        <f t="shared" si="12"/>
        <v/>
      </c>
      <c r="H90" s="32">
        <v>38625421.68</v>
      </c>
      <c r="I90" s="32">
        <f t="shared" si="8"/>
        <v>101679.50999999791</v>
      </c>
      <c r="J90" s="32"/>
      <c r="K90" s="17">
        <v>47756</v>
      </c>
      <c r="L90" s="18">
        <f t="shared" si="13"/>
        <v>5</v>
      </c>
      <c r="M90" s="274" t="str">
        <f t="shared" si="14"/>
        <v/>
      </c>
      <c r="N90" s="274" t="str">
        <f t="shared" si="15"/>
        <v/>
      </c>
    </row>
    <row r="91" spans="1:14" x14ac:dyDescent="0.3">
      <c r="A91" s="17">
        <v>47752</v>
      </c>
      <c r="B91" s="17">
        <f t="shared" si="9"/>
        <v>47784</v>
      </c>
      <c r="C91" s="18">
        <f t="shared" si="10"/>
        <v>32</v>
      </c>
      <c r="D91" s="4"/>
      <c r="E91" s="19">
        <v>30000000</v>
      </c>
      <c r="F91" s="20">
        <f t="shared" si="11"/>
        <v>0</v>
      </c>
      <c r="G91" s="20" t="str">
        <f t="shared" si="12"/>
        <v/>
      </c>
      <c r="H91" s="32">
        <v>38523742.170000002</v>
      </c>
      <c r="I91" s="32">
        <f t="shared" si="8"/>
        <v>102109.57999999821</v>
      </c>
      <c r="J91" s="32"/>
      <c r="K91" s="17">
        <v>47787</v>
      </c>
      <c r="L91" s="18">
        <f t="shared" si="13"/>
        <v>4</v>
      </c>
      <c r="M91" s="274" t="str">
        <f t="shared" si="14"/>
        <v/>
      </c>
      <c r="N91" s="274" t="str">
        <f t="shared" si="15"/>
        <v/>
      </c>
    </row>
    <row r="92" spans="1:14" x14ac:dyDescent="0.3">
      <c r="A92" s="17">
        <v>47784</v>
      </c>
      <c r="B92" s="17">
        <f t="shared" si="9"/>
        <v>47813</v>
      </c>
      <c r="C92" s="18">
        <f t="shared" si="10"/>
        <v>29</v>
      </c>
      <c r="D92" s="4"/>
      <c r="E92" s="19">
        <v>30000000</v>
      </c>
      <c r="F92" s="20">
        <f t="shared" si="11"/>
        <v>0</v>
      </c>
      <c r="G92" s="20" t="str">
        <f t="shared" si="12"/>
        <v/>
      </c>
      <c r="H92" s="32">
        <v>38421632.590000004</v>
      </c>
      <c r="I92" s="32">
        <f t="shared" si="8"/>
        <v>102541.46000000089</v>
      </c>
      <c r="J92" s="32"/>
      <c r="K92" s="17">
        <v>47817</v>
      </c>
      <c r="L92" s="18">
        <f t="shared" si="13"/>
        <v>5</v>
      </c>
      <c r="M92" s="274" t="str">
        <f t="shared" si="14"/>
        <v/>
      </c>
      <c r="N92" s="274" t="str">
        <f t="shared" si="15"/>
        <v/>
      </c>
    </row>
    <row r="93" spans="1:14" x14ac:dyDescent="0.3">
      <c r="A93" s="17">
        <v>47813</v>
      </c>
      <c r="B93" s="17">
        <f t="shared" si="9"/>
        <v>47844</v>
      </c>
      <c r="C93" s="18">
        <f t="shared" si="10"/>
        <v>31</v>
      </c>
      <c r="D93" s="4"/>
      <c r="E93" s="19">
        <v>30000000</v>
      </c>
      <c r="F93" s="20">
        <f t="shared" si="11"/>
        <v>0</v>
      </c>
      <c r="G93" s="20" t="str">
        <f t="shared" si="12"/>
        <v/>
      </c>
      <c r="H93" s="32">
        <v>38319091.130000003</v>
      </c>
      <c r="I93" s="32">
        <f t="shared" si="8"/>
        <v>102975.16000000387</v>
      </c>
      <c r="J93" s="32"/>
      <c r="K93" s="17">
        <v>47848</v>
      </c>
      <c r="L93" s="18">
        <f t="shared" si="13"/>
        <v>5</v>
      </c>
      <c r="M93" s="274" t="str">
        <f t="shared" si="14"/>
        <v/>
      </c>
      <c r="N93" s="274" t="str">
        <f t="shared" si="15"/>
        <v/>
      </c>
    </row>
    <row r="94" spans="1:14" x14ac:dyDescent="0.3">
      <c r="A94" s="17">
        <v>47844</v>
      </c>
      <c r="B94" s="17">
        <f t="shared" si="9"/>
        <v>47875</v>
      </c>
      <c r="C94" s="18">
        <f t="shared" si="10"/>
        <v>31</v>
      </c>
      <c r="D94" s="4"/>
      <c r="E94" s="19">
        <v>30000000</v>
      </c>
      <c r="F94" s="20">
        <f t="shared" si="11"/>
        <v>0</v>
      </c>
      <c r="G94" s="20" t="str">
        <f t="shared" si="12"/>
        <v/>
      </c>
      <c r="H94" s="32">
        <v>38216115.969999999</v>
      </c>
      <c r="I94" s="32">
        <f t="shared" si="8"/>
        <v>103410.69999999553</v>
      </c>
      <c r="J94" s="32"/>
      <c r="K94" s="17">
        <v>47879</v>
      </c>
      <c r="L94" s="18">
        <f t="shared" si="13"/>
        <v>5</v>
      </c>
      <c r="M94" s="274" t="str">
        <f t="shared" si="14"/>
        <v/>
      </c>
      <c r="N94" s="274" t="str">
        <f t="shared" si="15"/>
        <v/>
      </c>
    </row>
    <row r="95" spans="1:14" x14ac:dyDescent="0.3">
      <c r="A95" s="17">
        <v>47875</v>
      </c>
      <c r="B95" s="17">
        <f t="shared" si="9"/>
        <v>47905</v>
      </c>
      <c r="C95" s="18">
        <f t="shared" si="10"/>
        <v>30</v>
      </c>
      <c r="D95" s="4"/>
      <c r="E95" s="19">
        <v>30000000</v>
      </c>
      <c r="F95" s="20">
        <f t="shared" si="11"/>
        <v>0</v>
      </c>
      <c r="G95" s="20" t="str">
        <f t="shared" si="12"/>
        <v/>
      </c>
      <c r="H95" s="32">
        <v>38112705.270000003</v>
      </c>
      <c r="I95" s="32">
        <f t="shared" si="8"/>
        <v>103848.08000000566</v>
      </c>
      <c r="J95" s="32"/>
      <c r="K95" s="17">
        <v>47907</v>
      </c>
      <c r="L95" s="18">
        <f t="shared" si="13"/>
        <v>3</v>
      </c>
      <c r="M95" s="274" t="str">
        <f t="shared" si="14"/>
        <v/>
      </c>
      <c r="N95" s="274" t="str">
        <f t="shared" si="15"/>
        <v/>
      </c>
    </row>
    <row r="96" spans="1:14" x14ac:dyDescent="0.3">
      <c r="A96" s="17">
        <v>47905</v>
      </c>
      <c r="B96" s="17">
        <f t="shared" si="9"/>
        <v>47933</v>
      </c>
      <c r="C96" s="18">
        <f t="shared" si="10"/>
        <v>28</v>
      </c>
      <c r="D96" s="4"/>
      <c r="E96" s="19">
        <v>30000000</v>
      </c>
      <c r="F96" s="20">
        <f t="shared" si="11"/>
        <v>0</v>
      </c>
      <c r="G96" s="20" t="str">
        <f t="shared" si="12"/>
        <v/>
      </c>
      <c r="H96" s="32">
        <v>38008857.189999998</v>
      </c>
      <c r="I96" s="32">
        <f t="shared" si="8"/>
        <v>104287.30999999493</v>
      </c>
      <c r="J96" s="32"/>
      <c r="K96" s="17">
        <v>47938</v>
      </c>
      <c r="L96" s="18">
        <f t="shared" si="13"/>
        <v>6</v>
      </c>
      <c r="M96" s="274" t="str">
        <f t="shared" si="14"/>
        <v/>
      </c>
      <c r="N96" s="274" t="str">
        <f t="shared" si="15"/>
        <v/>
      </c>
    </row>
    <row r="97" spans="1:14" x14ac:dyDescent="0.3">
      <c r="A97" s="17">
        <v>47933</v>
      </c>
      <c r="B97" s="17">
        <f t="shared" si="9"/>
        <v>47966</v>
      </c>
      <c r="C97" s="18">
        <f t="shared" si="10"/>
        <v>33</v>
      </c>
      <c r="D97" s="4"/>
      <c r="E97" s="19">
        <v>30000000</v>
      </c>
      <c r="F97" s="20">
        <f t="shared" si="11"/>
        <v>0</v>
      </c>
      <c r="G97" s="20" t="str">
        <f t="shared" si="12"/>
        <v/>
      </c>
      <c r="H97" s="32">
        <v>37904569.880000003</v>
      </c>
      <c r="I97" s="32">
        <f t="shared" si="8"/>
        <v>104728.40000000596</v>
      </c>
      <c r="J97" s="32"/>
      <c r="K97" s="17">
        <v>47968</v>
      </c>
      <c r="L97" s="18">
        <f t="shared" si="13"/>
        <v>3</v>
      </c>
      <c r="M97" s="274" t="str">
        <f t="shared" si="14"/>
        <v/>
      </c>
      <c r="N97" s="274" t="str">
        <f t="shared" si="15"/>
        <v/>
      </c>
    </row>
    <row r="98" spans="1:14" x14ac:dyDescent="0.3">
      <c r="A98" s="17">
        <v>47966</v>
      </c>
      <c r="B98" s="17">
        <f t="shared" si="9"/>
        <v>47994</v>
      </c>
      <c r="C98" s="18">
        <f t="shared" si="10"/>
        <v>28</v>
      </c>
      <c r="D98" s="4"/>
      <c r="E98" s="19">
        <v>30000000</v>
      </c>
      <c r="F98" s="20">
        <f t="shared" si="11"/>
        <v>0</v>
      </c>
      <c r="G98" s="20" t="str">
        <f t="shared" si="12"/>
        <v/>
      </c>
      <c r="H98" s="32">
        <v>37799841.479999997</v>
      </c>
      <c r="I98" s="32">
        <f t="shared" si="8"/>
        <v>105171.3599999994</v>
      </c>
      <c r="J98" s="32"/>
      <c r="K98" s="17">
        <v>47999</v>
      </c>
      <c r="L98" s="18">
        <f t="shared" si="13"/>
        <v>6</v>
      </c>
      <c r="M98" s="274" t="str">
        <f t="shared" si="14"/>
        <v/>
      </c>
      <c r="N98" s="274" t="str">
        <f t="shared" si="15"/>
        <v/>
      </c>
    </row>
    <row r="99" spans="1:14" x14ac:dyDescent="0.3">
      <c r="A99" s="17">
        <v>47994</v>
      </c>
      <c r="B99" s="17">
        <f t="shared" si="9"/>
        <v>48025</v>
      </c>
      <c r="C99" s="18">
        <f t="shared" si="10"/>
        <v>31</v>
      </c>
      <c r="D99" s="4"/>
      <c r="E99" s="19">
        <v>30000000</v>
      </c>
      <c r="F99" s="20">
        <f t="shared" si="11"/>
        <v>0</v>
      </c>
      <c r="G99" s="20" t="str">
        <f t="shared" si="12"/>
        <v/>
      </c>
      <c r="H99" s="32">
        <v>37694670.119999997</v>
      </c>
      <c r="I99" s="32">
        <f t="shared" si="8"/>
        <v>105616.1799999997</v>
      </c>
      <c r="J99" s="32"/>
      <c r="K99" s="17">
        <v>48029</v>
      </c>
      <c r="L99" s="18">
        <f t="shared" si="13"/>
        <v>5</v>
      </c>
      <c r="M99" s="274" t="str">
        <f t="shared" si="14"/>
        <v/>
      </c>
      <c r="N99" s="274" t="str">
        <f t="shared" si="15"/>
        <v/>
      </c>
    </row>
    <row r="100" spans="1:14" x14ac:dyDescent="0.3">
      <c r="A100" s="17">
        <v>48025</v>
      </c>
      <c r="B100" s="17">
        <f t="shared" si="9"/>
        <v>48057</v>
      </c>
      <c r="C100" s="18">
        <f t="shared" si="10"/>
        <v>32</v>
      </c>
      <c r="D100" s="4"/>
      <c r="E100" s="19">
        <v>30000000</v>
      </c>
      <c r="F100" s="20">
        <f t="shared" si="11"/>
        <v>0</v>
      </c>
      <c r="G100" s="20" t="str">
        <f t="shared" si="12"/>
        <v/>
      </c>
      <c r="H100" s="32">
        <v>37589053.939999998</v>
      </c>
      <c r="I100" s="32">
        <f t="shared" si="8"/>
        <v>106062.89999999851</v>
      </c>
      <c r="J100" s="32"/>
      <c r="K100" s="17">
        <v>48060</v>
      </c>
      <c r="L100" s="18">
        <f t="shared" si="13"/>
        <v>4</v>
      </c>
      <c r="M100" s="274" t="str">
        <f t="shared" si="14"/>
        <v/>
      </c>
      <c r="N100" s="274" t="str">
        <f t="shared" si="15"/>
        <v/>
      </c>
    </row>
    <row r="101" spans="1:14" x14ac:dyDescent="0.3">
      <c r="A101" s="17">
        <v>48057</v>
      </c>
      <c r="B101" s="17">
        <f t="shared" si="9"/>
        <v>48086</v>
      </c>
      <c r="C101" s="18">
        <f t="shared" si="10"/>
        <v>29</v>
      </c>
      <c r="D101" s="4"/>
      <c r="E101" s="19">
        <v>30000000</v>
      </c>
      <c r="F101" s="20">
        <f t="shared" si="11"/>
        <v>0</v>
      </c>
      <c r="G101" s="20" t="str">
        <f t="shared" si="12"/>
        <v/>
      </c>
      <c r="H101" s="32">
        <v>37482991.039999999</v>
      </c>
      <c r="I101" s="32">
        <f t="shared" si="8"/>
        <v>106511.49000000209</v>
      </c>
      <c r="J101" s="32"/>
      <c r="K101" s="17">
        <v>48091</v>
      </c>
      <c r="L101" s="18">
        <f t="shared" si="13"/>
        <v>6</v>
      </c>
      <c r="M101" s="274" t="str">
        <f t="shared" si="14"/>
        <v/>
      </c>
      <c r="N101" s="274" t="str">
        <f t="shared" si="15"/>
        <v/>
      </c>
    </row>
    <row r="102" spans="1:14" x14ac:dyDescent="0.3">
      <c r="A102" s="17">
        <v>48086</v>
      </c>
      <c r="B102" s="17">
        <f t="shared" si="9"/>
        <v>48117</v>
      </c>
      <c r="C102" s="18">
        <f t="shared" si="10"/>
        <v>31</v>
      </c>
      <c r="D102" s="4"/>
      <c r="E102" s="19">
        <v>30000000</v>
      </c>
      <c r="F102" s="20">
        <f t="shared" si="11"/>
        <v>0</v>
      </c>
      <c r="G102" s="20" t="str">
        <f t="shared" si="12"/>
        <v/>
      </c>
      <c r="H102" s="32">
        <v>37376479.549999997</v>
      </c>
      <c r="I102" s="32">
        <f t="shared" si="8"/>
        <v>106962</v>
      </c>
      <c r="J102" s="32"/>
      <c r="K102" s="17">
        <v>48121</v>
      </c>
      <c r="L102" s="18">
        <f t="shared" si="13"/>
        <v>5</v>
      </c>
      <c r="M102" s="274" t="str">
        <f t="shared" si="14"/>
        <v/>
      </c>
      <c r="N102" s="274" t="str">
        <f t="shared" si="15"/>
        <v/>
      </c>
    </row>
    <row r="103" spans="1:14" x14ac:dyDescent="0.3">
      <c r="A103" s="17">
        <v>48117</v>
      </c>
      <c r="B103" s="17">
        <f t="shared" si="9"/>
        <v>48148</v>
      </c>
      <c r="C103" s="18">
        <f t="shared" si="10"/>
        <v>31</v>
      </c>
      <c r="D103" s="4"/>
      <c r="E103" s="19">
        <v>30000000</v>
      </c>
      <c r="F103" s="20">
        <f t="shared" si="11"/>
        <v>0</v>
      </c>
      <c r="G103" s="20" t="str">
        <f t="shared" si="12"/>
        <v/>
      </c>
      <c r="H103" s="32">
        <v>37269517.549999997</v>
      </c>
      <c r="I103" s="32">
        <f t="shared" si="8"/>
        <v>107414.3900000006</v>
      </c>
      <c r="J103" s="32"/>
      <c r="K103" s="17">
        <v>48152</v>
      </c>
      <c r="L103" s="18">
        <f t="shared" si="13"/>
        <v>5</v>
      </c>
      <c r="M103" s="274" t="str">
        <f t="shared" si="14"/>
        <v/>
      </c>
      <c r="N103" s="274" t="str">
        <f t="shared" si="15"/>
        <v/>
      </c>
    </row>
    <row r="104" spans="1:14" x14ac:dyDescent="0.3">
      <c r="A104" s="17">
        <v>48148</v>
      </c>
      <c r="B104" s="17">
        <f t="shared" si="9"/>
        <v>48178</v>
      </c>
      <c r="C104" s="18">
        <f t="shared" si="10"/>
        <v>30</v>
      </c>
      <c r="D104" s="4"/>
      <c r="E104" s="19">
        <v>30000000</v>
      </c>
      <c r="F104" s="20">
        <f t="shared" si="11"/>
        <v>0</v>
      </c>
      <c r="G104" s="20" t="str">
        <f t="shared" si="12"/>
        <v/>
      </c>
      <c r="H104" s="32">
        <v>37162103.159999996</v>
      </c>
      <c r="I104" s="32">
        <f t="shared" si="8"/>
        <v>107868.70999999344</v>
      </c>
      <c r="J104" s="32"/>
      <c r="K104" s="17">
        <v>48182</v>
      </c>
      <c r="L104" s="18">
        <f t="shared" si="13"/>
        <v>5</v>
      </c>
      <c r="M104" s="274" t="str">
        <f t="shared" si="14"/>
        <v/>
      </c>
      <c r="N104" s="274" t="str">
        <f t="shared" si="15"/>
        <v/>
      </c>
    </row>
    <row r="105" spans="1:14" x14ac:dyDescent="0.3">
      <c r="A105" s="17">
        <v>48178</v>
      </c>
      <c r="B105" s="17">
        <f t="shared" si="9"/>
        <v>48211</v>
      </c>
      <c r="C105" s="18">
        <f t="shared" si="10"/>
        <v>33</v>
      </c>
      <c r="D105" s="4"/>
      <c r="E105" s="19">
        <v>30000000</v>
      </c>
      <c r="F105" s="20">
        <f t="shared" si="11"/>
        <v>0</v>
      </c>
      <c r="G105" s="20" t="str">
        <f t="shared" si="12"/>
        <v/>
      </c>
      <c r="H105" s="32">
        <v>37054234.450000003</v>
      </c>
      <c r="I105" s="32">
        <f t="shared" si="8"/>
        <v>108324.94000000507</v>
      </c>
      <c r="J105" s="32"/>
      <c r="K105" s="17">
        <v>48213</v>
      </c>
      <c r="L105" s="18">
        <f t="shared" si="13"/>
        <v>3</v>
      </c>
      <c r="M105" s="274" t="str">
        <f t="shared" si="14"/>
        <v/>
      </c>
      <c r="N105" s="274" t="str">
        <f t="shared" si="15"/>
        <v/>
      </c>
    </row>
    <row r="106" spans="1:14" x14ac:dyDescent="0.3">
      <c r="A106" s="17">
        <v>48211</v>
      </c>
      <c r="B106" s="17">
        <f t="shared" si="9"/>
        <v>48239</v>
      </c>
      <c r="C106" s="18">
        <f t="shared" si="10"/>
        <v>28</v>
      </c>
      <c r="D106" s="4"/>
      <c r="E106" s="19">
        <v>30000000</v>
      </c>
      <c r="F106" s="20">
        <f t="shared" si="11"/>
        <v>0</v>
      </c>
      <c r="G106" s="20" t="str">
        <f t="shared" si="12"/>
        <v/>
      </c>
      <c r="H106" s="32">
        <v>36945909.509999998</v>
      </c>
      <c r="I106" s="32">
        <f t="shared" si="8"/>
        <v>108783.11999999732</v>
      </c>
      <c r="J106" s="32"/>
      <c r="K106" s="17">
        <v>48244</v>
      </c>
      <c r="L106" s="18">
        <f t="shared" si="13"/>
        <v>6</v>
      </c>
      <c r="M106" s="274" t="str">
        <f t="shared" si="14"/>
        <v/>
      </c>
      <c r="N106" s="274" t="str">
        <f t="shared" si="15"/>
        <v/>
      </c>
    </row>
    <row r="107" spans="1:14" x14ac:dyDescent="0.3">
      <c r="A107" s="17">
        <v>48239</v>
      </c>
      <c r="B107" s="17">
        <f t="shared" si="9"/>
        <v>48270</v>
      </c>
      <c r="C107" s="18">
        <f t="shared" si="10"/>
        <v>31</v>
      </c>
      <c r="D107" s="4"/>
      <c r="E107" s="19">
        <v>30000000</v>
      </c>
      <c r="F107" s="20">
        <f t="shared" si="11"/>
        <v>0</v>
      </c>
      <c r="G107" s="20" t="str">
        <f t="shared" si="12"/>
        <v/>
      </c>
      <c r="H107" s="32">
        <v>36837126.390000001</v>
      </c>
      <c r="I107" s="32">
        <f t="shared" si="8"/>
        <v>109243.21000000089</v>
      </c>
      <c r="J107" s="32"/>
      <c r="K107" s="17">
        <v>48273</v>
      </c>
      <c r="L107" s="18">
        <f t="shared" si="13"/>
        <v>4</v>
      </c>
      <c r="M107" s="274" t="str">
        <f t="shared" si="14"/>
        <v/>
      </c>
      <c r="N107" s="274" t="str">
        <f t="shared" si="15"/>
        <v/>
      </c>
    </row>
    <row r="108" spans="1:14" x14ac:dyDescent="0.3">
      <c r="A108" s="17">
        <v>48270</v>
      </c>
      <c r="B108" s="17">
        <f t="shared" si="9"/>
        <v>48302</v>
      </c>
      <c r="C108" s="18">
        <f t="shared" si="10"/>
        <v>32</v>
      </c>
      <c r="D108" s="4"/>
      <c r="E108" s="19">
        <v>30000000</v>
      </c>
      <c r="F108" s="20">
        <f t="shared" si="11"/>
        <v>0</v>
      </c>
      <c r="G108" s="20" t="str">
        <f t="shared" si="12"/>
        <v/>
      </c>
      <c r="H108" s="32">
        <v>36727883.18</v>
      </c>
      <c r="I108" s="32">
        <f t="shared" si="8"/>
        <v>109705.27000000328</v>
      </c>
      <c r="J108" s="32"/>
      <c r="K108" s="17">
        <v>48304</v>
      </c>
      <c r="L108" s="18">
        <f t="shared" si="13"/>
        <v>3</v>
      </c>
      <c r="M108" s="274" t="str">
        <f t="shared" si="14"/>
        <v/>
      </c>
      <c r="N108" s="274" t="str">
        <f t="shared" si="15"/>
        <v/>
      </c>
    </row>
    <row r="109" spans="1:14" x14ac:dyDescent="0.3">
      <c r="A109" s="17">
        <v>48302</v>
      </c>
      <c r="B109" s="17">
        <f t="shared" si="9"/>
        <v>48330</v>
      </c>
      <c r="C109" s="18">
        <f t="shared" si="10"/>
        <v>28</v>
      </c>
      <c r="D109" s="4"/>
      <c r="E109" s="19">
        <v>30000000</v>
      </c>
      <c r="F109" s="20">
        <f t="shared" si="11"/>
        <v>0</v>
      </c>
      <c r="G109" s="20" t="str">
        <f t="shared" si="12"/>
        <v/>
      </c>
      <c r="H109" s="32">
        <v>36618177.909999996</v>
      </c>
      <c r="I109" s="32">
        <f t="shared" si="8"/>
        <v>110169.26999999583</v>
      </c>
      <c r="J109" s="32"/>
      <c r="K109" s="17">
        <v>48334</v>
      </c>
      <c r="L109" s="18">
        <f t="shared" si="13"/>
        <v>5</v>
      </c>
      <c r="M109" s="274" t="str">
        <f t="shared" si="14"/>
        <v/>
      </c>
      <c r="N109" s="274" t="str">
        <f t="shared" si="15"/>
        <v/>
      </c>
    </row>
    <row r="110" spans="1:14" x14ac:dyDescent="0.3">
      <c r="A110" s="17">
        <v>48330</v>
      </c>
      <c r="B110" s="17">
        <f t="shared" si="9"/>
        <v>48360</v>
      </c>
      <c r="C110" s="18">
        <f t="shared" si="10"/>
        <v>30</v>
      </c>
      <c r="D110" s="4"/>
      <c r="E110" s="19">
        <v>30000000</v>
      </c>
      <c r="F110" s="20">
        <f t="shared" si="11"/>
        <v>0</v>
      </c>
      <c r="G110" s="20" t="str">
        <f t="shared" si="12"/>
        <v/>
      </c>
      <c r="H110" s="32">
        <v>36508008.640000001</v>
      </c>
      <c r="I110" s="32">
        <f t="shared" si="8"/>
        <v>110635.24000000209</v>
      </c>
      <c r="J110" s="32"/>
      <c r="K110" s="17">
        <v>48365</v>
      </c>
      <c r="L110" s="18">
        <f t="shared" si="13"/>
        <v>6</v>
      </c>
      <c r="M110" s="274" t="str">
        <f t="shared" si="14"/>
        <v/>
      </c>
      <c r="N110" s="274" t="str">
        <f t="shared" si="15"/>
        <v/>
      </c>
    </row>
    <row r="111" spans="1:14" x14ac:dyDescent="0.3">
      <c r="A111" s="17">
        <v>48360</v>
      </c>
      <c r="B111" s="17">
        <f t="shared" si="9"/>
        <v>48393</v>
      </c>
      <c r="C111" s="18">
        <f t="shared" si="10"/>
        <v>33</v>
      </c>
      <c r="D111" s="4"/>
      <c r="E111" s="19">
        <v>30000000</v>
      </c>
      <c r="F111" s="20">
        <f t="shared" si="11"/>
        <v>0</v>
      </c>
      <c r="G111" s="20" t="str">
        <f t="shared" si="12"/>
        <v/>
      </c>
      <c r="H111" s="32">
        <v>36397373.399999999</v>
      </c>
      <c r="I111" s="32">
        <f t="shared" si="8"/>
        <v>111103.1799999997</v>
      </c>
      <c r="J111" s="32"/>
      <c r="K111" s="17">
        <v>48395</v>
      </c>
      <c r="L111" s="18">
        <f t="shared" si="13"/>
        <v>3</v>
      </c>
      <c r="M111" s="274" t="str">
        <f t="shared" si="14"/>
        <v/>
      </c>
      <c r="N111" s="274" t="str">
        <f t="shared" si="15"/>
        <v/>
      </c>
    </row>
    <row r="112" spans="1:14" x14ac:dyDescent="0.3">
      <c r="A112" s="17">
        <v>48393</v>
      </c>
      <c r="B112" s="17">
        <f t="shared" si="9"/>
        <v>48421</v>
      </c>
      <c r="C112" s="18">
        <f t="shared" si="10"/>
        <v>28</v>
      </c>
      <c r="D112" s="4"/>
      <c r="E112" s="19">
        <v>30000000</v>
      </c>
      <c r="F112" s="20">
        <f t="shared" si="11"/>
        <v>0</v>
      </c>
      <c r="G112" s="20" t="str">
        <f t="shared" si="12"/>
        <v/>
      </c>
      <c r="H112" s="32">
        <v>36286270.219999999</v>
      </c>
      <c r="I112" s="32">
        <f t="shared" si="8"/>
        <v>111573.08999999613</v>
      </c>
      <c r="J112" s="32"/>
      <c r="K112" s="17">
        <v>48426</v>
      </c>
      <c r="L112" s="18">
        <f t="shared" si="13"/>
        <v>6</v>
      </c>
      <c r="M112" s="274" t="str">
        <f t="shared" si="14"/>
        <v/>
      </c>
      <c r="N112" s="274" t="str">
        <f t="shared" si="15"/>
        <v/>
      </c>
    </row>
    <row r="113" spans="1:14" x14ac:dyDescent="0.3">
      <c r="A113" s="17">
        <v>48421</v>
      </c>
      <c r="B113" s="17">
        <f t="shared" si="9"/>
        <v>48452</v>
      </c>
      <c r="C113" s="18">
        <f t="shared" si="10"/>
        <v>31</v>
      </c>
      <c r="D113" s="4"/>
      <c r="E113" s="19">
        <v>30000000</v>
      </c>
      <c r="F113" s="20">
        <f t="shared" si="11"/>
        <v>0</v>
      </c>
      <c r="G113" s="20" t="str">
        <f t="shared" si="12"/>
        <v/>
      </c>
      <c r="H113" s="32">
        <v>36174697.130000003</v>
      </c>
      <c r="I113" s="32">
        <f t="shared" si="8"/>
        <v>112045</v>
      </c>
      <c r="J113" s="32"/>
      <c r="K113" s="17">
        <v>48457</v>
      </c>
      <c r="L113" s="18">
        <f t="shared" si="13"/>
        <v>6</v>
      </c>
      <c r="M113" s="274" t="str">
        <f t="shared" si="14"/>
        <v/>
      </c>
      <c r="N113" s="274" t="str">
        <f t="shared" si="15"/>
        <v/>
      </c>
    </row>
    <row r="114" spans="1:14" x14ac:dyDescent="0.3">
      <c r="A114" s="17">
        <v>48452</v>
      </c>
      <c r="B114" s="17">
        <f t="shared" si="9"/>
        <v>48484</v>
      </c>
      <c r="C114" s="18">
        <f t="shared" si="10"/>
        <v>32</v>
      </c>
      <c r="D114" s="4"/>
      <c r="E114" s="19">
        <v>30000000</v>
      </c>
      <c r="F114" s="20">
        <f t="shared" si="11"/>
        <v>0</v>
      </c>
      <c r="G114" s="20" t="str">
        <f t="shared" si="12"/>
        <v/>
      </c>
      <c r="H114" s="32">
        <v>36062652.130000003</v>
      </c>
      <c r="I114" s="32">
        <f t="shared" si="8"/>
        <v>112518.90000000596</v>
      </c>
      <c r="J114" s="32"/>
      <c r="K114" s="17">
        <v>48487</v>
      </c>
      <c r="L114" s="18">
        <f t="shared" si="13"/>
        <v>4</v>
      </c>
      <c r="M114" s="274" t="str">
        <f t="shared" si="14"/>
        <v/>
      </c>
      <c r="N114" s="274" t="str">
        <f t="shared" si="15"/>
        <v/>
      </c>
    </row>
    <row r="115" spans="1:14" x14ac:dyDescent="0.3">
      <c r="A115" s="17">
        <v>48484</v>
      </c>
      <c r="B115" s="17">
        <f t="shared" si="9"/>
        <v>48513</v>
      </c>
      <c r="C115" s="18">
        <f t="shared" si="10"/>
        <v>29</v>
      </c>
      <c r="D115" s="4"/>
      <c r="E115" s="19">
        <v>30000000</v>
      </c>
      <c r="F115" s="20">
        <f t="shared" si="11"/>
        <v>0</v>
      </c>
      <c r="G115" s="20" t="str">
        <f t="shared" si="12"/>
        <v/>
      </c>
      <c r="H115" s="32">
        <v>35950133.229999997</v>
      </c>
      <c r="I115" s="32">
        <f t="shared" si="8"/>
        <v>112994.80999999493</v>
      </c>
      <c r="J115" s="32"/>
      <c r="K115" s="17">
        <v>48518</v>
      </c>
      <c r="L115" s="18">
        <f t="shared" si="13"/>
        <v>6</v>
      </c>
      <c r="M115" s="274" t="str">
        <f t="shared" si="14"/>
        <v/>
      </c>
      <c r="N115" s="274" t="str">
        <f t="shared" si="15"/>
        <v/>
      </c>
    </row>
    <row r="116" spans="1:14" x14ac:dyDescent="0.3">
      <c r="A116" s="17">
        <v>48513</v>
      </c>
      <c r="B116" s="17">
        <f t="shared" si="9"/>
        <v>48544</v>
      </c>
      <c r="C116" s="18">
        <f t="shared" si="10"/>
        <v>31</v>
      </c>
      <c r="D116" s="4"/>
      <c r="E116" s="19">
        <v>30000000</v>
      </c>
      <c r="F116" s="20">
        <f t="shared" si="11"/>
        <v>0</v>
      </c>
      <c r="G116" s="20" t="str">
        <f t="shared" si="12"/>
        <v/>
      </c>
      <c r="H116" s="32">
        <v>35837138.420000002</v>
      </c>
      <c r="I116" s="32">
        <f t="shared" si="8"/>
        <v>113472.71999999881</v>
      </c>
      <c r="J116" s="32"/>
      <c r="K116" s="17">
        <v>48548</v>
      </c>
      <c r="L116" s="18">
        <f t="shared" si="13"/>
        <v>5</v>
      </c>
      <c r="M116" s="274" t="str">
        <f t="shared" si="14"/>
        <v/>
      </c>
      <c r="N116" s="274" t="str">
        <f t="shared" si="15"/>
        <v/>
      </c>
    </row>
    <row r="117" spans="1:14" x14ac:dyDescent="0.3">
      <c r="A117" s="17">
        <v>48544</v>
      </c>
      <c r="B117" s="17">
        <f t="shared" si="9"/>
        <v>48577</v>
      </c>
      <c r="C117" s="18">
        <f t="shared" si="10"/>
        <v>33</v>
      </c>
      <c r="D117" s="4"/>
      <c r="E117" s="19">
        <v>30000000</v>
      </c>
      <c r="F117" s="20">
        <f t="shared" si="11"/>
        <v>0</v>
      </c>
      <c r="G117" s="20" t="str">
        <f t="shared" si="12"/>
        <v/>
      </c>
      <c r="H117" s="32">
        <v>35723665.700000003</v>
      </c>
      <c r="I117" s="32">
        <f t="shared" si="8"/>
        <v>113952.67000000179</v>
      </c>
      <c r="J117" s="32"/>
      <c r="K117" s="17">
        <v>48579</v>
      </c>
      <c r="L117" s="18">
        <f t="shared" si="13"/>
        <v>3</v>
      </c>
      <c r="M117" s="274" t="str">
        <f t="shared" si="14"/>
        <v/>
      </c>
      <c r="N117" s="274" t="str">
        <f t="shared" si="15"/>
        <v/>
      </c>
    </row>
    <row r="118" spans="1:14" x14ac:dyDescent="0.3">
      <c r="A118" s="17">
        <v>48577</v>
      </c>
      <c r="B118" s="17">
        <f t="shared" si="9"/>
        <v>48605</v>
      </c>
      <c r="C118" s="18">
        <f t="shared" si="10"/>
        <v>28</v>
      </c>
      <c r="D118" s="4"/>
      <c r="E118" s="19">
        <v>30000000</v>
      </c>
      <c r="F118" s="20">
        <f t="shared" si="11"/>
        <v>0</v>
      </c>
      <c r="G118" s="20" t="str">
        <f t="shared" si="12"/>
        <v/>
      </c>
      <c r="H118" s="32">
        <v>35609713.030000001</v>
      </c>
      <c r="I118" s="32">
        <f t="shared" si="8"/>
        <v>114434.63000000268</v>
      </c>
      <c r="J118" s="32"/>
      <c r="K118" s="17">
        <v>48610</v>
      </c>
      <c r="L118" s="18">
        <f t="shared" si="13"/>
        <v>6</v>
      </c>
      <c r="M118" s="274" t="str">
        <f t="shared" si="14"/>
        <v/>
      </c>
      <c r="N118" s="274" t="str">
        <f t="shared" si="15"/>
        <v/>
      </c>
    </row>
    <row r="119" spans="1:14" x14ac:dyDescent="0.3">
      <c r="A119" s="17">
        <v>48605</v>
      </c>
      <c r="B119" s="17">
        <f t="shared" si="9"/>
        <v>48638</v>
      </c>
      <c r="C119" s="18">
        <f t="shared" si="10"/>
        <v>33</v>
      </c>
      <c r="D119" s="4"/>
      <c r="E119" s="19">
        <v>30000000</v>
      </c>
      <c r="F119" s="20">
        <f t="shared" si="11"/>
        <v>0</v>
      </c>
      <c r="G119" s="20" t="str">
        <f t="shared" si="12"/>
        <v/>
      </c>
      <c r="H119" s="32">
        <v>35495278.399999999</v>
      </c>
      <c r="I119" s="32">
        <f t="shared" si="8"/>
        <v>114918.6400000006</v>
      </c>
      <c r="J119" s="32"/>
      <c r="K119" s="17">
        <v>48638</v>
      </c>
      <c r="L119" s="18">
        <f t="shared" si="13"/>
        <v>1</v>
      </c>
      <c r="M119" s="274" t="str">
        <f t="shared" si="14"/>
        <v/>
      </c>
      <c r="N119" s="274" t="str">
        <f t="shared" si="15"/>
        <v/>
      </c>
    </row>
    <row r="120" spans="1:14" x14ac:dyDescent="0.3">
      <c r="A120" s="17">
        <v>48638</v>
      </c>
      <c r="B120" s="17">
        <f t="shared" si="9"/>
        <v>48666</v>
      </c>
      <c r="C120" s="18">
        <f t="shared" si="10"/>
        <v>28</v>
      </c>
      <c r="D120" s="4"/>
      <c r="E120" s="19">
        <v>30000000</v>
      </c>
      <c r="F120" s="20">
        <f t="shared" si="11"/>
        <v>0</v>
      </c>
      <c r="G120" s="20" t="str">
        <f t="shared" si="12"/>
        <v/>
      </c>
      <c r="H120" s="32">
        <v>35380359.759999998</v>
      </c>
      <c r="I120" s="32">
        <f t="shared" si="8"/>
        <v>115404.69999999553</v>
      </c>
      <c r="J120" s="32"/>
      <c r="K120" s="17">
        <v>48669</v>
      </c>
      <c r="L120" s="18">
        <f t="shared" si="13"/>
        <v>4</v>
      </c>
      <c r="M120" s="274" t="str">
        <f t="shared" si="14"/>
        <v/>
      </c>
      <c r="N120" s="274" t="str">
        <f t="shared" si="15"/>
        <v/>
      </c>
    </row>
    <row r="121" spans="1:14" x14ac:dyDescent="0.3">
      <c r="A121" s="17">
        <v>48666</v>
      </c>
      <c r="B121" s="17">
        <f t="shared" si="9"/>
        <v>48695</v>
      </c>
      <c r="C121" s="18">
        <f t="shared" si="10"/>
        <v>29</v>
      </c>
      <c r="D121" s="4"/>
      <c r="E121" s="19">
        <v>30000000</v>
      </c>
      <c r="F121" s="20">
        <f t="shared" si="11"/>
        <v>0</v>
      </c>
      <c r="G121" s="20" t="str">
        <f t="shared" si="12"/>
        <v/>
      </c>
      <c r="H121" s="32">
        <v>35264955.060000002</v>
      </c>
      <c r="I121" s="32">
        <f t="shared" si="8"/>
        <v>115892.81000000238</v>
      </c>
      <c r="J121" s="32"/>
      <c r="K121" s="17">
        <v>48699</v>
      </c>
      <c r="L121" s="18">
        <f t="shared" si="13"/>
        <v>5</v>
      </c>
      <c r="M121" s="274" t="str">
        <f t="shared" si="14"/>
        <v/>
      </c>
      <c r="N121" s="274" t="str">
        <f t="shared" si="15"/>
        <v/>
      </c>
    </row>
    <row r="122" spans="1:14" x14ac:dyDescent="0.3">
      <c r="A122" s="17">
        <v>48695</v>
      </c>
      <c r="B122" s="17">
        <f t="shared" si="9"/>
        <v>48725</v>
      </c>
      <c r="C122" s="18">
        <f t="shared" si="10"/>
        <v>30</v>
      </c>
      <c r="D122" s="4"/>
      <c r="E122" s="19">
        <v>30000000</v>
      </c>
      <c r="F122" s="20">
        <f t="shared" si="11"/>
        <v>0</v>
      </c>
      <c r="G122" s="20" t="str">
        <f t="shared" si="12"/>
        <v/>
      </c>
      <c r="H122" s="32">
        <v>35149062.25</v>
      </c>
      <c r="I122" s="32">
        <f t="shared" si="8"/>
        <v>116382.97999999672</v>
      </c>
      <c r="J122" s="32"/>
      <c r="K122" s="17">
        <v>48730</v>
      </c>
      <c r="L122" s="18">
        <f t="shared" si="13"/>
        <v>6</v>
      </c>
      <c r="M122" s="274" t="str">
        <f t="shared" si="14"/>
        <v/>
      </c>
      <c r="N122" s="274" t="str">
        <f t="shared" si="15"/>
        <v/>
      </c>
    </row>
    <row r="123" spans="1:14" x14ac:dyDescent="0.3">
      <c r="A123" s="17">
        <v>48725</v>
      </c>
      <c r="B123" s="17">
        <f t="shared" si="9"/>
        <v>48757</v>
      </c>
      <c r="C123" s="18">
        <f t="shared" si="10"/>
        <v>32</v>
      </c>
      <c r="D123" s="4"/>
      <c r="E123" s="19">
        <v>30000000</v>
      </c>
      <c r="F123" s="20">
        <f t="shared" si="11"/>
        <v>0</v>
      </c>
      <c r="G123" s="20" t="str">
        <f t="shared" si="12"/>
        <v/>
      </c>
      <c r="H123" s="32">
        <v>35032679.270000003</v>
      </c>
      <c r="I123" s="32">
        <f t="shared" si="8"/>
        <v>116875.23000000417</v>
      </c>
      <c r="J123" s="32"/>
      <c r="K123" s="17">
        <v>48760</v>
      </c>
      <c r="L123" s="18">
        <f t="shared" si="13"/>
        <v>4</v>
      </c>
      <c r="M123" s="274" t="str">
        <f t="shared" si="14"/>
        <v/>
      </c>
      <c r="N123" s="274" t="str">
        <f t="shared" si="15"/>
        <v/>
      </c>
    </row>
    <row r="124" spans="1:14" x14ac:dyDescent="0.3">
      <c r="A124" s="17">
        <v>48757</v>
      </c>
      <c r="B124" s="17">
        <f t="shared" si="9"/>
        <v>48786</v>
      </c>
      <c r="C124" s="18">
        <f t="shared" si="10"/>
        <v>29</v>
      </c>
      <c r="D124" s="4"/>
      <c r="E124" s="19">
        <v>30000000</v>
      </c>
      <c r="F124" s="20">
        <f t="shared" si="11"/>
        <v>0</v>
      </c>
      <c r="G124" s="20" t="str">
        <f t="shared" si="12"/>
        <v/>
      </c>
      <c r="H124" s="32">
        <v>34915804.039999999</v>
      </c>
      <c r="I124" s="32">
        <f t="shared" si="8"/>
        <v>117369.56000000238</v>
      </c>
      <c r="J124" s="32"/>
      <c r="K124" s="17">
        <v>48791</v>
      </c>
      <c r="L124" s="18">
        <f t="shared" si="13"/>
        <v>6</v>
      </c>
      <c r="M124" s="274" t="str">
        <f t="shared" si="14"/>
        <v/>
      </c>
      <c r="N124" s="274" t="str">
        <f t="shared" si="15"/>
        <v/>
      </c>
    </row>
    <row r="125" spans="1:14" x14ac:dyDescent="0.3">
      <c r="A125" s="17">
        <v>48786</v>
      </c>
      <c r="B125" s="17">
        <f t="shared" si="9"/>
        <v>48817</v>
      </c>
      <c r="C125" s="18">
        <f t="shared" si="10"/>
        <v>31</v>
      </c>
      <c r="D125" s="4"/>
      <c r="E125" s="19">
        <v>30000000</v>
      </c>
      <c r="F125" s="20">
        <f t="shared" si="11"/>
        <v>0</v>
      </c>
      <c r="G125" s="20" t="str">
        <f t="shared" si="12"/>
        <v/>
      </c>
      <c r="H125" s="32">
        <v>34798434.479999997</v>
      </c>
      <c r="I125" s="32">
        <f t="shared" si="8"/>
        <v>117865.97999999672</v>
      </c>
      <c r="J125" s="32"/>
      <c r="K125" s="17">
        <v>48822</v>
      </c>
      <c r="L125" s="18">
        <f t="shared" si="13"/>
        <v>6</v>
      </c>
      <c r="M125" s="274" t="str">
        <f t="shared" si="14"/>
        <v/>
      </c>
      <c r="N125" s="274" t="str">
        <f t="shared" si="15"/>
        <v/>
      </c>
    </row>
    <row r="126" spans="1:14" x14ac:dyDescent="0.3">
      <c r="A126" s="17">
        <v>48817</v>
      </c>
      <c r="B126" s="17">
        <f t="shared" si="9"/>
        <v>48848</v>
      </c>
      <c r="C126" s="18">
        <f t="shared" si="10"/>
        <v>31</v>
      </c>
      <c r="D126" s="4"/>
      <c r="E126" s="19">
        <v>30000000</v>
      </c>
      <c r="F126" s="20">
        <f t="shared" si="11"/>
        <v>0</v>
      </c>
      <c r="G126" s="20" t="str">
        <f t="shared" si="12"/>
        <v/>
      </c>
      <c r="H126" s="32">
        <v>34680568.5</v>
      </c>
      <c r="I126" s="32">
        <f t="shared" si="8"/>
        <v>118364.50999999791</v>
      </c>
      <c r="J126" s="32"/>
      <c r="K126" s="17">
        <v>48852</v>
      </c>
      <c r="L126" s="18">
        <f t="shared" si="13"/>
        <v>5</v>
      </c>
      <c r="M126" s="274" t="str">
        <f t="shared" si="14"/>
        <v/>
      </c>
      <c r="N126" s="274" t="str">
        <f t="shared" si="15"/>
        <v/>
      </c>
    </row>
    <row r="127" spans="1:14" x14ac:dyDescent="0.3">
      <c r="A127" s="17">
        <v>48848</v>
      </c>
      <c r="B127" s="17">
        <f t="shared" si="9"/>
        <v>48878</v>
      </c>
      <c r="C127" s="18">
        <f t="shared" si="10"/>
        <v>30</v>
      </c>
      <c r="D127" s="4"/>
      <c r="E127" s="19">
        <v>30000000</v>
      </c>
      <c r="F127" s="20">
        <f t="shared" si="11"/>
        <v>0</v>
      </c>
      <c r="G127" s="20" t="str">
        <f t="shared" si="12"/>
        <v/>
      </c>
      <c r="H127" s="32">
        <v>34562203.990000002</v>
      </c>
      <c r="I127" s="32">
        <f t="shared" si="8"/>
        <v>118865.13000000268</v>
      </c>
      <c r="J127" s="32"/>
      <c r="K127" s="17">
        <v>48883</v>
      </c>
      <c r="L127" s="18">
        <f t="shared" si="13"/>
        <v>6</v>
      </c>
      <c r="M127" s="274" t="str">
        <f t="shared" si="14"/>
        <v/>
      </c>
      <c r="N127" s="274" t="str">
        <f t="shared" si="15"/>
        <v/>
      </c>
    </row>
    <row r="128" spans="1:14" x14ac:dyDescent="0.3">
      <c r="A128" s="17">
        <v>48878</v>
      </c>
      <c r="B128" s="17">
        <f t="shared" si="9"/>
        <v>48911</v>
      </c>
      <c r="C128" s="18">
        <f t="shared" si="10"/>
        <v>33</v>
      </c>
      <c r="D128" s="4"/>
      <c r="E128" s="19">
        <v>30000000</v>
      </c>
      <c r="F128" s="20">
        <f t="shared" si="11"/>
        <v>0</v>
      </c>
      <c r="G128" s="20" t="str">
        <f t="shared" si="12"/>
        <v/>
      </c>
      <c r="H128" s="32">
        <v>34443338.859999999</v>
      </c>
      <c r="I128" s="32">
        <f t="shared" si="8"/>
        <v>119367.88000000268</v>
      </c>
      <c r="J128" s="32"/>
      <c r="K128" s="17">
        <v>48913</v>
      </c>
      <c r="L128" s="18">
        <f t="shared" si="13"/>
        <v>3</v>
      </c>
      <c r="M128" s="274" t="str">
        <f t="shared" si="14"/>
        <v/>
      </c>
      <c r="N128" s="274" t="str">
        <f t="shared" si="15"/>
        <v/>
      </c>
    </row>
    <row r="129" spans="1:16" x14ac:dyDescent="0.3">
      <c r="A129" s="17">
        <v>48911</v>
      </c>
      <c r="B129" s="17">
        <f t="shared" si="9"/>
        <v>48941</v>
      </c>
      <c r="C129" s="18">
        <f t="shared" si="10"/>
        <v>30</v>
      </c>
      <c r="D129" s="4"/>
      <c r="E129" s="19">
        <v>30000000</v>
      </c>
      <c r="F129" s="20">
        <f t="shared" si="11"/>
        <v>0</v>
      </c>
      <c r="G129" s="20" t="str">
        <f t="shared" si="12"/>
        <v/>
      </c>
      <c r="H129" s="32">
        <v>34323970.979999997</v>
      </c>
      <c r="I129" s="32">
        <f t="shared" si="8"/>
        <v>119872.75999999791</v>
      </c>
      <c r="J129" s="32"/>
      <c r="K129" s="17">
        <v>48944</v>
      </c>
      <c r="L129" s="18">
        <f t="shared" si="13"/>
        <v>4</v>
      </c>
      <c r="M129" s="274" t="str">
        <f t="shared" si="14"/>
        <v/>
      </c>
      <c r="N129" s="274" t="str">
        <f t="shared" si="15"/>
        <v/>
      </c>
    </row>
    <row r="130" spans="1:16" x14ac:dyDescent="0.3">
      <c r="A130" s="17">
        <v>48941</v>
      </c>
      <c r="B130" s="17">
        <f t="shared" si="9"/>
        <v>48970</v>
      </c>
      <c r="C130" s="18">
        <f t="shared" si="10"/>
        <v>29</v>
      </c>
      <c r="D130" s="4"/>
      <c r="E130" s="19">
        <v>30000000</v>
      </c>
      <c r="F130" s="20">
        <f t="shared" si="11"/>
        <v>0</v>
      </c>
      <c r="G130" s="20" t="str">
        <f t="shared" si="12"/>
        <v/>
      </c>
      <c r="H130" s="32">
        <v>34204098.219999999</v>
      </c>
      <c r="I130" s="32">
        <f t="shared" si="8"/>
        <v>120379.75999999791</v>
      </c>
      <c r="J130" s="32"/>
      <c r="K130" s="17">
        <v>48975</v>
      </c>
      <c r="L130" s="18">
        <f t="shared" si="13"/>
        <v>6</v>
      </c>
      <c r="M130" s="274" t="str">
        <f t="shared" si="14"/>
        <v/>
      </c>
      <c r="N130" s="274" t="str">
        <f t="shared" si="15"/>
        <v/>
      </c>
    </row>
    <row r="131" spans="1:16" x14ac:dyDescent="0.3">
      <c r="A131" s="17">
        <v>48970</v>
      </c>
      <c r="B131" s="17">
        <f t="shared" si="9"/>
        <v>49002</v>
      </c>
      <c r="C131" s="18">
        <f t="shared" si="10"/>
        <v>32</v>
      </c>
      <c r="D131" s="4"/>
      <c r="E131" s="19">
        <v>30000000</v>
      </c>
      <c r="F131" s="20">
        <f t="shared" si="11"/>
        <v>0</v>
      </c>
      <c r="G131" s="20" t="str">
        <f t="shared" si="12"/>
        <v/>
      </c>
      <c r="H131" s="32">
        <v>34083718.460000001</v>
      </c>
      <c r="I131" s="32">
        <f t="shared" si="8"/>
        <v>120888.92000000179</v>
      </c>
      <c r="J131" s="32"/>
      <c r="K131" s="17">
        <v>49003</v>
      </c>
      <c r="L131" s="18">
        <f t="shared" si="13"/>
        <v>2</v>
      </c>
      <c r="M131" s="274" t="str">
        <f t="shared" si="14"/>
        <v/>
      </c>
      <c r="N131" s="274" t="str">
        <f t="shared" si="15"/>
        <v/>
      </c>
    </row>
    <row r="132" spans="1:16" x14ac:dyDescent="0.3">
      <c r="A132" s="17">
        <v>49002</v>
      </c>
      <c r="B132" s="17">
        <f t="shared" si="9"/>
        <v>49030</v>
      </c>
      <c r="C132" s="18">
        <f t="shared" si="10"/>
        <v>28</v>
      </c>
      <c r="D132" s="4"/>
      <c r="E132" s="19">
        <v>30000000</v>
      </c>
      <c r="F132" s="20">
        <f t="shared" si="11"/>
        <v>0</v>
      </c>
      <c r="G132" s="20" t="str">
        <f t="shared" si="12"/>
        <v/>
      </c>
      <c r="H132" s="32">
        <v>33962829.539999999</v>
      </c>
      <c r="I132" s="32">
        <f t="shared" si="8"/>
        <v>121400.21999999881</v>
      </c>
      <c r="J132" s="32"/>
      <c r="K132" s="17">
        <v>49034</v>
      </c>
      <c r="L132" s="18">
        <f t="shared" si="13"/>
        <v>5</v>
      </c>
      <c r="M132" s="274" t="str">
        <f t="shared" si="14"/>
        <v/>
      </c>
      <c r="N132" s="274" t="str">
        <f t="shared" si="15"/>
        <v/>
      </c>
    </row>
    <row r="133" spans="1:16" x14ac:dyDescent="0.3">
      <c r="A133" s="17">
        <v>49030</v>
      </c>
      <c r="B133" s="17">
        <f t="shared" si="9"/>
        <v>49060</v>
      </c>
      <c r="C133" s="18">
        <f t="shared" si="10"/>
        <v>30</v>
      </c>
      <c r="D133" s="4"/>
      <c r="E133" s="19">
        <v>30000000</v>
      </c>
      <c r="F133" s="20">
        <f t="shared" si="11"/>
        <v>0</v>
      </c>
      <c r="G133" s="20" t="str">
        <f t="shared" si="12"/>
        <v/>
      </c>
      <c r="H133" s="32">
        <v>33841429.32</v>
      </c>
      <c r="I133" s="32">
        <f t="shared" si="8"/>
        <v>121913.68999999762</v>
      </c>
      <c r="J133" s="32"/>
      <c r="K133" s="17">
        <v>49064</v>
      </c>
      <c r="L133" s="18">
        <f t="shared" si="13"/>
        <v>5</v>
      </c>
      <c r="M133" s="274" t="str">
        <f t="shared" si="14"/>
        <v/>
      </c>
      <c r="N133" s="274" t="str">
        <f t="shared" si="15"/>
        <v/>
      </c>
    </row>
    <row r="134" spans="1:16" x14ac:dyDescent="0.3">
      <c r="A134" s="17">
        <v>49060</v>
      </c>
      <c r="B134" s="17">
        <f t="shared" si="9"/>
        <v>49090</v>
      </c>
      <c r="C134" s="18">
        <f t="shared" si="10"/>
        <v>30</v>
      </c>
      <c r="D134" s="4"/>
      <c r="E134" s="19">
        <v>30000000</v>
      </c>
      <c r="F134" s="20">
        <f t="shared" si="11"/>
        <v>0</v>
      </c>
      <c r="G134" s="20" t="str">
        <f t="shared" si="12"/>
        <v/>
      </c>
      <c r="H134" s="32">
        <v>33719515.630000003</v>
      </c>
      <c r="I134" s="32">
        <f t="shared" si="8"/>
        <v>122429.34000000358</v>
      </c>
      <c r="J134" s="32"/>
      <c r="K134" s="17">
        <v>49095</v>
      </c>
      <c r="L134" s="18">
        <f t="shared" si="13"/>
        <v>6</v>
      </c>
      <c r="M134" s="274" t="str">
        <f t="shared" si="14"/>
        <v/>
      </c>
      <c r="N134" s="274" t="str">
        <f t="shared" si="15"/>
        <v/>
      </c>
    </row>
    <row r="135" spans="1:16" x14ac:dyDescent="0.3">
      <c r="A135" s="17">
        <v>49090</v>
      </c>
      <c r="B135" s="17">
        <f t="shared" si="9"/>
        <v>49122</v>
      </c>
      <c r="C135" s="18">
        <f t="shared" si="10"/>
        <v>32</v>
      </c>
      <c r="D135" s="4"/>
      <c r="E135" s="19">
        <v>30000000</v>
      </c>
      <c r="F135" s="20">
        <f t="shared" si="11"/>
        <v>0</v>
      </c>
      <c r="G135" s="20" t="str">
        <f t="shared" si="12"/>
        <v/>
      </c>
      <c r="H135" s="32">
        <v>33597086.289999999</v>
      </c>
      <c r="I135" s="32">
        <f t="shared" si="8"/>
        <v>122947.14999999851</v>
      </c>
      <c r="J135" s="32"/>
      <c r="K135" s="17">
        <v>49125</v>
      </c>
      <c r="L135" s="18">
        <f t="shared" si="13"/>
        <v>4</v>
      </c>
      <c r="M135" s="274" t="str">
        <f t="shared" si="14"/>
        <v/>
      </c>
      <c r="N135" s="274" t="str">
        <f t="shared" si="15"/>
        <v/>
      </c>
    </row>
    <row r="136" spans="1:16" x14ac:dyDescent="0.3">
      <c r="A136" s="17">
        <v>49122</v>
      </c>
      <c r="B136" s="17">
        <f t="shared" si="9"/>
        <v>49151</v>
      </c>
      <c r="C136" s="18">
        <f t="shared" si="10"/>
        <v>29</v>
      </c>
      <c r="D136" s="4"/>
      <c r="E136" s="19">
        <v>30000000</v>
      </c>
      <c r="F136" s="20">
        <f t="shared" si="11"/>
        <v>30000000</v>
      </c>
      <c r="G136" s="20" t="str">
        <f t="shared" si="12"/>
        <v/>
      </c>
      <c r="H136" s="32">
        <v>33474139.140000001</v>
      </c>
      <c r="I136" s="32">
        <f t="shared" si="8"/>
        <v>123467.17000000179</v>
      </c>
      <c r="J136" s="32"/>
      <c r="L136" s="273"/>
      <c r="M136" s="9" t="str">
        <f t="shared" si="14"/>
        <v/>
      </c>
      <c r="N136" s="9" t="str">
        <f t="shared" si="15"/>
        <v/>
      </c>
    </row>
    <row r="137" spans="1:16" x14ac:dyDescent="0.3">
      <c r="A137" s="17">
        <v>49151</v>
      </c>
      <c r="B137" s="17" t="s">
        <v>7</v>
      </c>
      <c r="C137" s="18"/>
      <c r="D137" s="5"/>
      <c r="E137" s="19"/>
      <c r="F137" s="20"/>
      <c r="G137" s="20"/>
      <c r="H137" s="32">
        <v>33350671.969999999</v>
      </c>
      <c r="I137" s="32">
        <f t="shared" si="8"/>
        <v>33350671.969999999</v>
      </c>
      <c r="J137" s="32"/>
      <c r="L137" s="273"/>
      <c r="M137" s="9" t="str">
        <f t="shared" si="14"/>
        <v/>
      </c>
      <c r="N137" s="9" t="str">
        <f t="shared" si="15"/>
        <v/>
      </c>
    </row>
    <row r="138" spans="1:16" ht="16.5" customHeight="1" x14ac:dyDescent="0.3">
      <c r="A138" s="21"/>
      <c r="B138" s="21"/>
      <c r="C138" s="21"/>
      <c r="D138" s="21"/>
      <c r="E138" s="21"/>
      <c r="F138" s="21"/>
      <c r="G138" s="21"/>
      <c r="H138" s="21"/>
      <c r="I138" s="21"/>
      <c r="J138" s="21"/>
    </row>
    <row r="139" spans="1:16" s="23" customFormat="1" ht="30" customHeight="1" x14ac:dyDescent="0.35">
      <c r="A139" s="428" t="s">
        <v>6</v>
      </c>
      <c r="B139" s="428"/>
      <c r="C139" s="428"/>
      <c r="D139" s="428"/>
      <c r="E139" s="428"/>
      <c r="F139" s="428"/>
      <c r="G139" s="428"/>
      <c r="H139" s="428"/>
      <c r="I139" s="428"/>
      <c r="J139" s="22"/>
      <c r="K139" s="9"/>
      <c r="L139" s="22"/>
    </row>
    <row r="140" spans="1:16" s="25" customFormat="1" ht="190.95" customHeight="1" x14ac:dyDescent="0.35">
      <c r="A140" s="412" t="s">
        <v>5</v>
      </c>
      <c r="B140" s="412"/>
      <c r="C140" s="412"/>
      <c r="D140" s="412"/>
      <c r="E140" s="412"/>
      <c r="F140" s="412"/>
      <c r="G140" s="412"/>
      <c r="H140" s="412"/>
      <c r="I140" s="412"/>
      <c r="J140" s="24"/>
      <c r="K140" s="22"/>
      <c r="L140" s="24"/>
      <c r="M140" s="25">
        <v>120</v>
      </c>
      <c r="N140" s="268" t="s">
        <v>141</v>
      </c>
      <c r="O140" s="25" t="s">
        <v>142</v>
      </c>
      <c r="P140" s="25" t="s">
        <v>143</v>
      </c>
    </row>
    <row r="141" spans="1:16" ht="15" x14ac:dyDescent="0.35">
      <c r="K141" s="24"/>
      <c r="M141" s="9" t="s">
        <v>139</v>
      </c>
    </row>
    <row r="142" spans="1:16" x14ac:dyDescent="0.3">
      <c r="M142" s="9">
        <v>121</v>
      </c>
      <c r="N142" s="9" t="s">
        <v>144</v>
      </c>
      <c r="O142" s="9" t="s">
        <v>145</v>
      </c>
      <c r="P142" s="9" t="s">
        <v>146</v>
      </c>
    </row>
    <row r="143" spans="1:16" x14ac:dyDescent="0.3">
      <c r="M143" s="9">
        <v>122</v>
      </c>
      <c r="N143" s="9" t="s">
        <v>147</v>
      </c>
      <c r="O143" s="9" t="s">
        <v>148</v>
      </c>
      <c r="P143" s="9" t="s">
        <v>149</v>
      </c>
    </row>
    <row r="144" spans="1:16" x14ac:dyDescent="0.3">
      <c r="M144" s="9">
        <v>123</v>
      </c>
      <c r="N144" s="9" t="s">
        <v>150</v>
      </c>
      <c r="O144" s="9" t="s">
        <v>151</v>
      </c>
      <c r="P144" s="9" t="s">
        <v>152</v>
      </c>
    </row>
    <row r="145" spans="13:16" x14ac:dyDescent="0.3">
      <c r="M145" s="9">
        <v>124</v>
      </c>
      <c r="N145" s="9" t="s">
        <v>153</v>
      </c>
      <c r="O145" s="9" t="s">
        <v>154</v>
      </c>
      <c r="P145" s="9" t="s">
        <v>155</v>
      </c>
    </row>
    <row r="146" spans="13:16" x14ac:dyDescent="0.3">
      <c r="M146" s="9">
        <v>125</v>
      </c>
      <c r="N146" s="9" t="s">
        <v>156</v>
      </c>
      <c r="O146" s="9" t="s">
        <v>157</v>
      </c>
      <c r="P146" s="9" t="s">
        <v>158</v>
      </c>
    </row>
    <row r="147" spans="13:16" x14ac:dyDescent="0.3">
      <c r="M147" s="9">
        <v>126</v>
      </c>
      <c r="N147" s="9" t="s">
        <v>159</v>
      </c>
      <c r="O147" s="9" t="s">
        <v>160</v>
      </c>
      <c r="P147" s="9" t="s">
        <v>161</v>
      </c>
    </row>
    <row r="148" spans="13:16" x14ac:dyDescent="0.3">
      <c r="M148" s="9">
        <v>127</v>
      </c>
      <c r="N148" s="9" t="s">
        <v>162</v>
      </c>
      <c r="O148" s="9" t="s">
        <v>163</v>
      </c>
      <c r="P148" s="9" t="s">
        <v>164</v>
      </c>
    </row>
    <row r="149" spans="13:16" x14ac:dyDescent="0.3">
      <c r="M149" s="9">
        <v>128</v>
      </c>
      <c r="N149" s="9" t="s">
        <v>165</v>
      </c>
      <c r="O149" s="9" t="s">
        <v>166</v>
      </c>
      <c r="P149" s="9" t="s">
        <v>167</v>
      </c>
    </row>
    <row r="150" spans="13:16" x14ac:dyDescent="0.3">
      <c r="M150" s="9">
        <v>129</v>
      </c>
      <c r="N150" s="9" t="s">
        <v>168</v>
      </c>
      <c r="O150" s="9" t="s">
        <v>169</v>
      </c>
      <c r="P150" s="9" t="s">
        <v>170</v>
      </c>
    </row>
    <row r="151" spans="13:16" x14ac:dyDescent="0.3">
      <c r="M151" s="9">
        <v>130</v>
      </c>
      <c r="N151" s="9" t="s">
        <v>171</v>
      </c>
      <c r="O151" s="9" t="s">
        <v>172</v>
      </c>
      <c r="P151" s="9" t="s">
        <v>173</v>
      </c>
    </row>
    <row r="152" spans="13:16" x14ac:dyDescent="0.3">
      <c r="M152" s="9">
        <v>131</v>
      </c>
      <c r="N152" s="9" t="s">
        <v>174</v>
      </c>
      <c r="O152" s="9" t="s">
        <v>175</v>
      </c>
      <c r="P152" s="9" t="s">
        <v>176</v>
      </c>
    </row>
    <row r="153" spans="13:16" x14ac:dyDescent="0.3">
      <c r="M153" s="9">
        <v>132</v>
      </c>
      <c r="N153" s="9" t="s">
        <v>177</v>
      </c>
      <c r="O153" s="9" t="s">
        <v>178</v>
      </c>
      <c r="P153" s="9" t="s">
        <v>179</v>
      </c>
    </row>
    <row r="154" spans="13:16" x14ac:dyDescent="0.3">
      <c r="M154" s="9" t="s">
        <v>140</v>
      </c>
    </row>
    <row r="155" spans="13:16" x14ac:dyDescent="0.3">
      <c r="M155" s="9">
        <v>133</v>
      </c>
      <c r="N155" s="9" t="s">
        <v>180</v>
      </c>
      <c r="O155" s="9" t="s">
        <v>181</v>
      </c>
      <c r="P155" s="9" t="s">
        <v>182</v>
      </c>
    </row>
    <row r="156" spans="13:16" x14ac:dyDescent="0.3">
      <c r="M156" s="9">
        <v>134</v>
      </c>
      <c r="N156" s="9" t="s">
        <v>183</v>
      </c>
      <c r="O156" s="9" t="s">
        <v>184</v>
      </c>
      <c r="P156" s="9" t="s">
        <v>185</v>
      </c>
    </row>
    <row r="157" spans="13:16" x14ac:dyDescent="0.3">
      <c r="M157" s="9">
        <v>135</v>
      </c>
      <c r="N157" s="9" t="s">
        <v>186</v>
      </c>
      <c r="O157" s="9" t="s">
        <v>187</v>
      </c>
      <c r="P157" s="9" t="s">
        <v>188</v>
      </c>
    </row>
    <row r="158" spans="13:16" x14ac:dyDescent="0.3">
      <c r="M158" s="9">
        <v>136</v>
      </c>
      <c r="N158" s="9" t="s">
        <v>189</v>
      </c>
      <c r="O158" s="9" t="s">
        <v>190</v>
      </c>
      <c r="P158" s="9" t="s">
        <v>191</v>
      </c>
    </row>
    <row r="159" spans="13:16" x14ac:dyDescent="0.3">
      <c r="M159" s="9">
        <v>137</v>
      </c>
      <c r="N159" s="9" t="s">
        <v>192</v>
      </c>
      <c r="O159" s="9" t="s">
        <v>193</v>
      </c>
      <c r="P159" s="9" t="s">
        <v>194</v>
      </c>
    </row>
    <row r="160" spans="13:16" x14ac:dyDescent="0.3">
      <c r="M160" s="9">
        <v>138</v>
      </c>
      <c r="N160" s="9" t="s">
        <v>195</v>
      </c>
      <c r="O160" s="9" t="s">
        <v>196</v>
      </c>
      <c r="P160" s="9" t="s">
        <v>197</v>
      </c>
    </row>
    <row r="161" spans="13:16" x14ac:dyDescent="0.3">
      <c r="M161" s="9">
        <v>139</v>
      </c>
      <c r="N161" s="9" t="s">
        <v>198</v>
      </c>
      <c r="O161" s="9" t="s">
        <v>199</v>
      </c>
      <c r="P161" s="9" t="s">
        <v>200</v>
      </c>
    </row>
    <row r="162" spans="13:16" x14ac:dyDescent="0.3">
      <c r="M162" s="9">
        <v>140</v>
      </c>
      <c r="N162" s="9" t="s">
        <v>201</v>
      </c>
      <c r="O162" s="9" t="s">
        <v>202</v>
      </c>
      <c r="P162" s="9" t="s">
        <v>203</v>
      </c>
    </row>
    <row r="163" spans="13:16" x14ac:dyDescent="0.3">
      <c r="M163" s="9">
        <v>141</v>
      </c>
      <c r="N163" s="9" t="s">
        <v>204</v>
      </c>
      <c r="O163" s="9" t="s">
        <v>205</v>
      </c>
      <c r="P163" s="9" t="s">
        <v>206</v>
      </c>
    </row>
    <row r="164" spans="13:16" x14ac:dyDescent="0.3">
      <c r="M164" s="9">
        <v>142</v>
      </c>
      <c r="N164" s="9" t="s">
        <v>207</v>
      </c>
      <c r="O164" s="9" t="s">
        <v>208</v>
      </c>
      <c r="P164" s="9" t="s">
        <v>209</v>
      </c>
    </row>
    <row r="165" spans="13:16" x14ac:dyDescent="0.3">
      <c r="M165" s="9">
        <v>143</v>
      </c>
      <c r="N165" s="9" t="s">
        <v>210</v>
      </c>
      <c r="O165" s="9" t="s">
        <v>211</v>
      </c>
      <c r="P165" s="9" t="s">
        <v>212</v>
      </c>
    </row>
    <row r="166" spans="13:16" x14ac:dyDescent="0.3">
      <c r="M166" s="9">
        <v>144</v>
      </c>
      <c r="N166" s="9" t="s">
        <v>213</v>
      </c>
      <c r="O166" s="9" t="s">
        <v>214</v>
      </c>
      <c r="P166" s="9" t="s">
        <v>215</v>
      </c>
    </row>
  </sheetData>
  <sheetProtection selectLockedCells="1"/>
  <protectedRanges>
    <protectedRange password="C59C" sqref="B17:C138 D138 E17:F138 G138 J138 H17:I138" name="Range1_1"/>
  </protectedRanges>
  <mergeCells count="9">
    <mergeCell ref="A140:I140"/>
    <mergeCell ref="B13:C13"/>
    <mergeCell ref="B14:C14"/>
    <mergeCell ref="B3:C3"/>
    <mergeCell ref="A2:C2"/>
    <mergeCell ref="E15:G15"/>
    <mergeCell ref="H15:J15"/>
    <mergeCell ref="A15:B15"/>
    <mergeCell ref="A139:I139"/>
  </mergeCells>
  <pageMargins left="0.74803149606299213" right="0.74803149606299213" top="0.98425196850393704" bottom="0.98425196850393704" header="0.51181102362204722" footer="0.51181102362204722"/>
  <pageSetup paperSize="5" scale="77" fitToHeight="0"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ED17F-DBB1-40BD-924A-33BC3022CA11}">
  <sheetPr>
    <pageSetUpPr fitToPage="1"/>
  </sheetPr>
  <dimension ref="A1:W163"/>
  <sheetViews>
    <sheetView showGridLines="0" zoomScale="115" zoomScaleNormal="115" workbookViewId="0">
      <pane ySplit="15" topLeftCell="A16" activePane="bottomLeft" state="frozen"/>
      <selection pane="bottomLeft" activeCell="U7" sqref="U7"/>
    </sheetView>
  </sheetViews>
  <sheetFormatPr baseColWidth="10" defaultColWidth="9.109375" defaultRowHeight="13.2" outlineLevelCol="1" x14ac:dyDescent="0.25"/>
  <cols>
    <col min="1" max="1" width="14.33203125" style="235" customWidth="1" outlineLevel="1"/>
    <col min="2" max="2" width="3.109375" style="37" customWidth="1" outlineLevel="1"/>
    <col min="3" max="3" width="16.6640625" style="39" customWidth="1"/>
    <col min="4" max="4" width="11.109375" style="39" customWidth="1"/>
    <col min="5" max="5" width="18.44140625" style="39" customWidth="1"/>
    <col min="6" max="6" width="18.109375" style="39" customWidth="1"/>
    <col min="7" max="7" width="1.6640625" style="39" customWidth="1"/>
    <col min="8" max="8" width="19.33203125" style="39" customWidth="1"/>
    <col min="9" max="9" width="18.6640625" style="39" bestFit="1" customWidth="1"/>
    <col min="10" max="10" width="15.88671875" style="83" customWidth="1"/>
    <col min="11" max="11" width="15.44140625" style="39" customWidth="1"/>
    <col min="12" max="12" width="1.6640625" style="39" customWidth="1"/>
    <col min="13" max="13" width="12.6640625" style="39" bestFit="1" customWidth="1"/>
    <col min="14" max="14" width="14.5546875" style="39" bestFit="1" customWidth="1"/>
    <col min="15" max="15" width="13.44140625" style="39" customWidth="1"/>
    <col min="16" max="16" width="1.6640625" style="39" customWidth="1"/>
    <col min="17" max="17" width="21.6640625" style="39" bestFit="1" customWidth="1"/>
    <col min="18" max="18" width="1.6640625" style="39" customWidth="1"/>
    <col min="19" max="19" width="11.5546875" style="39" bestFit="1" customWidth="1"/>
    <col min="20" max="20" width="9.109375" style="39"/>
    <col min="21" max="21" width="15.44140625" style="39" bestFit="1" customWidth="1"/>
    <col min="22" max="22" width="14.109375" style="39" bestFit="1" customWidth="1"/>
    <col min="23" max="23" width="9" style="39" bestFit="1" customWidth="1"/>
    <col min="24" max="16384" width="9.109375" style="39"/>
  </cols>
  <sheetData>
    <row r="1" spans="1:23" ht="4.5" customHeight="1" x14ac:dyDescent="0.25">
      <c r="C1" s="38"/>
      <c r="D1" s="38"/>
      <c r="E1" s="38"/>
      <c r="J1" s="39"/>
    </row>
    <row r="2" spans="1:23" x14ac:dyDescent="0.25">
      <c r="C2" s="40" t="s">
        <v>29</v>
      </c>
      <c r="D2" s="41"/>
      <c r="E2" s="42"/>
      <c r="J2" s="39"/>
    </row>
    <row r="3" spans="1:23" x14ac:dyDescent="0.25">
      <c r="C3" s="43"/>
      <c r="D3" s="44" t="s">
        <v>30</v>
      </c>
      <c r="E3" s="45">
        <f>E5-E4</f>
        <v>2.4799999999999996E-2</v>
      </c>
      <c r="J3" s="39"/>
    </row>
    <row r="4" spans="1:23" ht="12" customHeight="1" x14ac:dyDescent="0.25">
      <c r="C4" s="46"/>
      <c r="D4" s="47" t="s">
        <v>31</v>
      </c>
      <c r="E4" s="48">
        <v>2.2954700000000001E-2</v>
      </c>
      <c r="H4" s="49"/>
      <c r="I4" s="49"/>
      <c r="J4" s="49"/>
      <c r="K4" s="49"/>
      <c r="L4" s="49"/>
      <c r="M4" s="49"/>
      <c r="N4" s="49"/>
      <c r="O4" s="49"/>
      <c r="P4" s="49"/>
      <c r="Q4" s="49"/>
    </row>
    <row r="5" spans="1:23" ht="13.8" thickBot="1" x14ac:dyDescent="0.3">
      <c r="C5" s="50"/>
      <c r="D5" s="44" t="s">
        <v>32</v>
      </c>
      <c r="E5" s="51">
        <v>4.7754699999999997E-2</v>
      </c>
      <c r="J5" s="39"/>
      <c r="L5" s="52"/>
      <c r="M5" s="52"/>
      <c r="N5" s="52"/>
      <c r="O5" s="52"/>
      <c r="P5" s="52"/>
      <c r="Q5" s="52"/>
      <c r="R5" s="52"/>
    </row>
    <row r="6" spans="1:23" ht="13.8" thickTop="1" x14ac:dyDescent="0.25">
      <c r="A6" s="236"/>
      <c r="C6" s="50"/>
      <c r="D6" s="44" t="s">
        <v>33</v>
      </c>
      <c r="E6" s="53">
        <f>C76</f>
        <v>47325</v>
      </c>
      <c r="H6" s="54"/>
      <c r="I6" s="54"/>
      <c r="J6" s="39"/>
      <c r="K6" s="44"/>
    </row>
    <row r="7" spans="1:23" x14ac:dyDescent="0.25">
      <c r="C7" s="55"/>
      <c r="D7" s="56" t="s">
        <v>34</v>
      </c>
      <c r="E7" s="57">
        <v>300</v>
      </c>
      <c r="F7" s="58"/>
      <c r="H7" s="54"/>
      <c r="I7" s="54"/>
      <c r="J7" s="39"/>
      <c r="K7" s="44"/>
    </row>
    <row r="8" spans="1:23" x14ac:dyDescent="0.25">
      <c r="D8" s="44"/>
      <c r="E8" s="54"/>
      <c r="H8" s="54"/>
      <c r="I8" s="54"/>
      <c r="J8" s="39"/>
      <c r="K8" s="44"/>
    </row>
    <row r="9" spans="1:23" ht="17.25" customHeight="1" x14ac:dyDescent="0.25">
      <c r="C9" s="59" t="s">
        <v>35</v>
      </c>
      <c r="D9" s="60"/>
      <c r="E9" s="60"/>
      <c r="G9" s="52"/>
      <c r="H9" s="52"/>
      <c r="I9" s="52"/>
      <c r="J9" s="61" t="s">
        <v>36</v>
      </c>
      <c r="K9" s="61" t="s">
        <v>37</v>
      </c>
      <c r="L9" s="52"/>
      <c r="M9" s="52"/>
      <c r="O9" s="61" t="s">
        <v>38</v>
      </c>
      <c r="Q9" s="62" t="s">
        <v>39</v>
      </c>
      <c r="R9" s="52"/>
    </row>
    <row r="10" spans="1:23" ht="18.75" customHeight="1" x14ac:dyDescent="0.25">
      <c r="C10" s="59"/>
      <c r="D10" s="44"/>
      <c r="E10" s="63"/>
      <c r="H10" s="64" t="s">
        <v>40</v>
      </c>
      <c r="I10" s="65"/>
      <c r="J10" s="66"/>
      <c r="K10" s="67"/>
      <c r="L10" s="66"/>
      <c r="M10" s="66"/>
      <c r="N10" s="68"/>
      <c r="O10" s="69"/>
      <c r="Q10" s="70"/>
    </row>
    <row r="11" spans="1:23" ht="4.5" customHeight="1" x14ac:dyDescent="0.25">
      <c r="C11" s="59"/>
      <c r="D11" s="44"/>
      <c r="E11" s="63"/>
      <c r="H11" s="63"/>
      <c r="I11" s="63"/>
      <c r="J11" s="39"/>
      <c r="K11" s="70"/>
      <c r="N11" s="71"/>
      <c r="O11" s="70"/>
      <c r="Q11" s="70"/>
    </row>
    <row r="12" spans="1:23" s="36" customFormat="1" ht="45" customHeight="1" x14ac:dyDescent="0.25">
      <c r="A12" s="235"/>
      <c r="B12" s="37"/>
      <c r="C12" s="72" t="s">
        <v>41</v>
      </c>
      <c r="D12" s="73"/>
      <c r="E12" s="74"/>
      <c r="F12" s="74"/>
      <c r="H12" s="72" t="s">
        <v>42</v>
      </c>
      <c r="I12" s="75"/>
      <c r="J12" s="76"/>
      <c r="K12" s="75"/>
      <c r="M12" s="72" t="s">
        <v>43</v>
      </c>
      <c r="N12" s="76"/>
      <c r="O12" s="77"/>
      <c r="P12" s="78"/>
      <c r="Q12" s="79" t="s">
        <v>44</v>
      </c>
      <c r="S12" s="275" t="s">
        <v>227</v>
      </c>
      <c r="T12" s="275"/>
      <c r="U12" s="275"/>
      <c r="V12" s="275"/>
      <c r="W12" s="275"/>
    </row>
    <row r="13" spans="1:23" ht="12" customHeight="1" x14ac:dyDescent="0.25">
      <c r="B13" s="36"/>
      <c r="D13" s="60"/>
      <c r="E13" s="60"/>
      <c r="H13" s="52"/>
      <c r="I13" s="52"/>
      <c r="J13" s="39"/>
      <c r="L13" s="52"/>
      <c r="M13" s="52"/>
      <c r="N13" s="52"/>
      <c r="P13" s="52"/>
      <c r="R13" s="52"/>
    </row>
    <row r="14" spans="1:23" ht="2.25" customHeight="1" x14ac:dyDescent="0.25">
      <c r="J14" s="39"/>
    </row>
    <row r="15" spans="1:23" s="83" customFormat="1" ht="28.5" customHeight="1" x14ac:dyDescent="0.25">
      <c r="A15" s="237"/>
      <c r="B15" s="80"/>
      <c r="C15" s="81" t="s">
        <v>45</v>
      </c>
      <c r="D15" s="81" t="s">
        <v>46</v>
      </c>
      <c r="E15" s="82" t="s">
        <v>47</v>
      </c>
      <c r="F15" s="82" t="s">
        <v>48</v>
      </c>
      <c r="H15" s="82" t="s">
        <v>116</v>
      </c>
      <c r="I15" s="82" t="s">
        <v>49</v>
      </c>
      <c r="J15" s="82" t="s">
        <v>50</v>
      </c>
      <c r="K15" s="82" t="s">
        <v>51</v>
      </c>
      <c r="L15" s="84"/>
      <c r="M15" s="81" t="s">
        <v>52</v>
      </c>
      <c r="N15" s="81" t="s">
        <v>53</v>
      </c>
      <c r="O15" s="82" t="s">
        <v>54</v>
      </c>
      <c r="P15" s="84"/>
      <c r="Q15" s="81" t="s">
        <v>55</v>
      </c>
      <c r="R15" s="84"/>
      <c r="S15" s="81" t="s">
        <v>45</v>
      </c>
      <c r="T15" s="81" t="s">
        <v>46</v>
      </c>
      <c r="U15" s="81" t="s">
        <v>52</v>
      </c>
      <c r="V15" s="81" t="s">
        <v>53</v>
      </c>
      <c r="W15" s="82" t="s">
        <v>54</v>
      </c>
    </row>
    <row r="16" spans="1:23" x14ac:dyDescent="0.25">
      <c r="A16" s="238">
        <f>E16</f>
        <v>30000000</v>
      </c>
      <c r="B16" s="85"/>
      <c r="C16" s="86">
        <v>45517</v>
      </c>
      <c r="D16" s="87"/>
      <c r="E16" s="88">
        <v>30000000</v>
      </c>
      <c r="F16" s="89">
        <f>E16</f>
        <v>30000000</v>
      </c>
      <c r="H16" s="90"/>
      <c r="I16" s="91">
        <f>E16</f>
        <v>30000000</v>
      </c>
      <c r="J16" s="92"/>
      <c r="K16" s="93"/>
      <c r="L16" s="52"/>
      <c r="M16" s="92"/>
      <c r="N16" s="92"/>
      <c r="O16" s="92"/>
      <c r="P16" s="94"/>
      <c r="Q16" s="95">
        <f>E16</f>
        <v>30000000</v>
      </c>
      <c r="R16" s="52"/>
      <c r="S16" s="92"/>
      <c r="T16" s="93"/>
      <c r="U16" s="92"/>
      <c r="V16" s="92"/>
      <c r="W16" s="92"/>
    </row>
    <row r="17" spans="1:23" x14ac:dyDescent="0.25">
      <c r="A17" s="239">
        <f>A16+(A16*$E$5*D17/365)+F17</f>
        <v>29947911.76219907</v>
      </c>
      <c r="B17" s="96"/>
      <c r="C17" s="86">
        <v>45530</v>
      </c>
      <c r="D17" s="97">
        <f>C17-C16</f>
        <v>13</v>
      </c>
      <c r="E17" s="91">
        <f>ROUND(A17,0)</f>
        <v>29947912</v>
      </c>
      <c r="F17" s="89">
        <f>PMT($E$5/12,$E$7,$F$16,0)+(E16*E5/12)-(E16*E5*D17/365)</f>
        <v>-103113.80766394225</v>
      </c>
      <c r="H17" s="251">
        <v>4.5474010000000002E-2</v>
      </c>
      <c r="I17" s="91">
        <f>E17</f>
        <v>29947912</v>
      </c>
      <c r="J17" s="99">
        <f>-(E16-E17)</f>
        <v>-52088</v>
      </c>
      <c r="K17" s="100">
        <f>-(E16*(H17+$E$4)*D17/365)</f>
        <v>-73115.607945205484</v>
      </c>
      <c r="L17" s="101"/>
      <c r="M17" s="94">
        <f>(H17+$E$4)*D17/365*E16</f>
        <v>73115.607945205484</v>
      </c>
      <c r="N17" s="94">
        <f>-($E$5*E16*18/365)</f>
        <v>-70650.789041095893</v>
      </c>
      <c r="O17" s="99">
        <f>M17+N17</f>
        <v>2464.8189041095902</v>
      </c>
      <c r="P17" s="101"/>
      <c r="Q17" s="95">
        <f>J17+K17+O17</f>
        <v>-122738.78904109589</v>
      </c>
      <c r="R17" s="102"/>
      <c r="S17" s="276">
        <v>45535</v>
      </c>
      <c r="T17" s="97">
        <f>S17-C17+1</f>
        <v>6</v>
      </c>
      <c r="U17" s="94">
        <f>(H17+$E$4)*T17/365*E16</f>
        <v>33745.665205479454</v>
      </c>
      <c r="V17" s="94">
        <f>-(($E$3+$E$4)*T17/365*E16)</f>
        <v>-23550.26301369863</v>
      </c>
      <c r="W17" s="94">
        <f>U17+V17</f>
        <v>10195.402191780824</v>
      </c>
    </row>
    <row r="18" spans="1:23" x14ac:dyDescent="0.25">
      <c r="A18" s="239">
        <f t="shared" ref="A18:A81" si="0">A17+(A17*$E$5/12)+F18</f>
        <v>29895616.236217331</v>
      </c>
      <c r="B18" s="96"/>
      <c r="C18" s="86">
        <v>45561</v>
      </c>
      <c r="D18" s="97">
        <f>C18-C17</f>
        <v>31</v>
      </c>
      <c r="E18" s="91">
        <f>ROUND(A18,0)</f>
        <v>29895616</v>
      </c>
      <c r="F18" s="89">
        <f>PMT($E$5/12,$E$7,$F$16,0)</f>
        <v>-171474.98780092856</v>
      </c>
      <c r="H18" s="251">
        <v>4.4219500000000002E-2</v>
      </c>
      <c r="I18" s="91">
        <f t="shared" ref="I18:I76" si="1">E18</f>
        <v>29895616</v>
      </c>
      <c r="J18" s="99">
        <f t="shared" ref="J18:J75" si="2">-(E17-E18)</f>
        <v>-52296</v>
      </c>
      <c r="K18" s="100">
        <f t="shared" ref="K18:K75" si="3">-(E17*(H18+$E$4)*D18/365)</f>
        <v>-170859.00805036275</v>
      </c>
      <c r="L18" s="101"/>
      <c r="M18" s="94">
        <f>(H18+$E$4)*D18/365*E17</f>
        <v>170859.00805036273</v>
      </c>
      <c r="N18" s="94">
        <f>-($E$5*E17/12)</f>
        <v>-119179.46276553332</v>
      </c>
      <c r="O18" s="99">
        <f t="shared" ref="O18:O76" si="4">M18+N18</f>
        <v>51679.545284829408</v>
      </c>
      <c r="P18" s="101"/>
      <c r="Q18" s="95">
        <f>J18+K18+O18</f>
        <v>-171475.46276553336</v>
      </c>
      <c r="R18" s="102"/>
      <c r="S18" s="276">
        <v>45565</v>
      </c>
      <c r="T18" s="97">
        <f t="shared" ref="T18:T76" si="5">S18-C18+1</f>
        <v>5</v>
      </c>
      <c r="U18" s="94">
        <f t="shared" ref="U18:U76" si="6">(H18+$E$4)*T18/365*E17</f>
        <v>27557.904524252059</v>
      </c>
      <c r="V18" s="94">
        <f t="shared" ref="V18:V76" si="7">-(($E$3+$E$4)*T18/365*E17)</f>
        <v>-19591.144564197257</v>
      </c>
      <c r="W18" s="94">
        <f t="shared" ref="W18:W76" si="8">U18+V18</f>
        <v>7966.7599600548019</v>
      </c>
    </row>
    <row r="19" spans="1:23" x14ac:dyDescent="0.25">
      <c r="A19" s="239">
        <f t="shared" si="0"/>
        <v>29843112.597139377</v>
      </c>
      <c r="B19" s="96"/>
      <c r="C19" s="86">
        <v>45593</v>
      </c>
      <c r="D19" s="97">
        <f t="shared" ref="D19:D76" si="9">C19-C18</f>
        <v>32</v>
      </c>
      <c r="E19" s="91">
        <f t="shared" ref="E19:E74" si="10">ROUND(A19,0)</f>
        <v>29843113</v>
      </c>
      <c r="F19" s="89">
        <f>PMT($E$5/12,$E$7,$F$16,0)</f>
        <v>-171474.98780092856</v>
      </c>
      <c r="H19" s="251">
        <v>4.307267519E-2</v>
      </c>
      <c r="I19" s="91">
        <f t="shared" si="1"/>
        <v>29843113</v>
      </c>
      <c r="J19" s="99">
        <f t="shared" si="2"/>
        <v>-52503</v>
      </c>
      <c r="K19" s="100">
        <f t="shared" si="3"/>
        <v>-173056.79379008588</v>
      </c>
      <c r="L19" s="101"/>
      <c r="M19" s="94">
        <f t="shared" ref="M19:M76" si="11">(H19+$E$4)*D19/365*E18</f>
        <v>173056.79379008588</v>
      </c>
      <c r="N19" s="94">
        <f>-($E$5*E18/12)</f>
        <v>-118971.34778293333</v>
      </c>
      <c r="O19" s="99">
        <f t="shared" si="4"/>
        <v>54085.446007152554</v>
      </c>
      <c r="P19" s="101"/>
      <c r="Q19" s="95">
        <f>J19+K19+O19</f>
        <v>-171474.34778293333</v>
      </c>
      <c r="R19" s="102"/>
      <c r="S19" s="276">
        <v>45596</v>
      </c>
      <c r="T19" s="97">
        <f t="shared" si="5"/>
        <v>4</v>
      </c>
      <c r="U19" s="94">
        <f t="shared" si="6"/>
        <v>21632.099223760735</v>
      </c>
      <c r="V19" s="94">
        <f t="shared" si="7"/>
        <v>-15645.54710570082</v>
      </c>
      <c r="W19" s="94">
        <f t="shared" si="8"/>
        <v>5986.5521180599153</v>
      </c>
    </row>
    <row r="20" spans="1:23" x14ac:dyDescent="0.25">
      <c r="A20" s="239">
        <f>A19+(A19*$E$5/12)+F20</f>
        <v>29790400.016766999</v>
      </c>
      <c r="B20" s="103"/>
      <c r="C20" s="86">
        <v>45622</v>
      </c>
      <c r="D20" s="97">
        <f t="shared" si="9"/>
        <v>29</v>
      </c>
      <c r="E20" s="91">
        <f>ROUND(A20,0)</f>
        <v>29790400</v>
      </c>
      <c r="F20" s="89">
        <f t="shared" ref="F20:F75" si="12">PMT($E$5/12,$E$7,$F$16,0)</f>
        <v>-171474.98780092856</v>
      </c>
      <c r="H20" s="251">
        <v>3.8437875000000003E-2</v>
      </c>
      <c r="I20" s="91">
        <f>E20</f>
        <v>29790400</v>
      </c>
      <c r="J20" s="99">
        <f t="shared" si="2"/>
        <v>-52713</v>
      </c>
      <c r="K20" s="100">
        <f t="shared" si="3"/>
        <v>-145567.72887532404</v>
      </c>
      <c r="L20" s="101"/>
      <c r="M20" s="94">
        <f t="shared" si="11"/>
        <v>145567.72887532404</v>
      </c>
      <c r="N20" s="94">
        <f t="shared" ref="N20:N76" si="13">-($E$5*E19/12)</f>
        <v>-118762.40903175832</v>
      </c>
      <c r="O20" s="99">
        <f t="shared" si="4"/>
        <v>26805.319843565725</v>
      </c>
      <c r="P20" s="101"/>
      <c r="Q20" s="95">
        <f t="shared" ref="Q20:Q76" si="14">J20+K20+O20</f>
        <v>-171475.40903175832</v>
      </c>
      <c r="R20" s="102"/>
      <c r="S20" s="276">
        <v>45626</v>
      </c>
      <c r="T20" s="97">
        <f t="shared" si="5"/>
        <v>5</v>
      </c>
      <c r="U20" s="94">
        <f t="shared" si="6"/>
        <v>25097.884288848974</v>
      </c>
      <c r="V20" s="94">
        <f t="shared" si="7"/>
        <v>-19522.587786042463</v>
      </c>
      <c r="W20" s="94">
        <f t="shared" si="8"/>
        <v>5575.2965028065119</v>
      </c>
    </row>
    <row r="21" spans="1:23" x14ac:dyDescent="0.25">
      <c r="A21" s="239">
        <f>A20+(A20*$E$5/12)+F21</f>
        <v>29737477.66360613</v>
      </c>
      <c r="B21" s="104"/>
      <c r="C21" s="86">
        <v>45653</v>
      </c>
      <c r="D21" s="97">
        <f t="shared" si="9"/>
        <v>31</v>
      </c>
      <c r="E21" s="91">
        <f t="shared" si="10"/>
        <v>29737478</v>
      </c>
      <c r="F21" s="89">
        <f t="shared" si="12"/>
        <v>-171474.98780092856</v>
      </c>
      <c r="H21" s="251">
        <v>3.7149188E-2</v>
      </c>
      <c r="I21" s="91">
        <f t="shared" si="1"/>
        <v>29737478</v>
      </c>
      <c r="J21" s="99">
        <f>-(E20-E21)</f>
        <v>-52922</v>
      </c>
      <c r="K21" s="100">
        <f t="shared" si="3"/>
        <v>-152071.4652529622</v>
      </c>
      <c r="L21" s="101"/>
      <c r="M21" s="94">
        <f>(H21+$E$4)*D21/365*E20</f>
        <v>152071.4652529622</v>
      </c>
      <c r="N21" s="94">
        <f t="shared" si="13"/>
        <v>-118552.63457333333</v>
      </c>
      <c r="O21" s="99">
        <f t="shared" si="4"/>
        <v>33518.830679628867</v>
      </c>
      <c r="P21" s="101"/>
      <c r="Q21" s="95">
        <f t="shared" si="14"/>
        <v>-171474.63457333331</v>
      </c>
      <c r="R21" s="102"/>
      <c r="S21" s="276">
        <v>45657</v>
      </c>
      <c r="T21" s="97">
        <f t="shared" si="5"/>
        <v>5</v>
      </c>
      <c r="U21" s="94">
        <f t="shared" si="6"/>
        <v>24527.655685961647</v>
      </c>
      <c r="V21" s="94">
        <f t="shared" si="7"/>
        <v>-19488.104313424654</v>
      </c>
      <c r="W21" s="94">
        <f t="shared" si="8"/>
        <v>5039.5513725369929</v>
      </c>
    </row>
    <row r="22" spans="1:23" x14ac:dyDescent="0.25">
      <c r="A22" s="239">
        <f>A21+(A21*$E$5/12)+F22</f>
        <v>29684344.702853717</v>
      </c>
      <c r="B22" s="105"/>
      <c r="C22" s="86">
        <v>45684</v>
      </c>
      <c r="D22" s="97">
        <f t="shared" si="9"/>
        <v>31</v>
      </c>
      <c r="E22" s="91">
        <f>ROUND(A22,0)</f>
        <v>29684345</v>
      </c>
      <c r="F22" s="89">
        <f t="shared" si="12"/>
        <v>-171474.98780092856</v>
      </c>
      <c r="H22" s="251">
        <v>3.3059959E-2</v>
      </c>
      <c r="I22" s="91">
        <f t="shared" si="1"/>
        <v>29684345</v>
      </c>
      <c r="J22" s="99">
        <f t="shared" si="2"/>
        <v>-53133</v>
      </c>
      <c r="K22" s="100">
        <f t="shared" si="3"/>
        <v>-141473.35720654813</v>
      </c>
      <c r="L22" s="101"/>
      <c r="M22" s="94">
        <f>(H22+$E$4)*D22/365*E21</f>
        <v>141473.35720654813</v>
      </c>
      <c r="N22" s="94">
        <f t="shared" si="13"/>
        <v>-118342.02838721666</v>
      </c>
      <c r="O22" s="99">
        <f t="shared" si="4"/>
        <v>23131.328819331466</v>
      </c>
      <c r="P22" s="101"/>
      <c r="Q22" s="95">
        <f t="shared" si="14"/>
        <v>-171475.02838721668</v>
      </c>
      <c r="R22" s="102"/>
      <c r="S22" s="276">
        <v>45688</v>
      </c>
      <c r="T22" s="97">
        <f t="shared" si="5"/>
        <v>5</v>
      </c>
      <c r="U22" s="94">
        <f t="shared" si="6"/>
        <v>22818.283420410986</v>
      </c>
      <c r="V22" s="94">
        <f t="shared" si="7"/>
        <v>-19453.484118446573</v>
      </c>
      <c r="W22" s="94">
        <f t="shared" si="8"/>
        <v>3364.7993019644127</v>
      </c>
    </row>
    <row r="23" spans="1:23" x14ac:dyDescent="0.25">
      <c r="A23" s="239">
        <f t="shared" si="0"/>
        <v>29631000.296384569</v>
      </c>
      <c r="B23" s="105"/>
      <c r="C23" s="86">
        <v>45714</v>
      </c>
      <c r="D23" s="97">
        <f t="shared" si="9"/>
        <v>30</v>
      </c>
      <c r="E23" s="91">
        <f>ROUND(A23,0)</f>
        <v>29631000</v>
      </c>
      <c r="F23" s="89">
        <f t="shared" si="12"/>
        <v>-171474.98780092856</v>
      </c>
      <c r="H23" s="98">
        <f>'Dettes - CORRA'!E13</f>
        <v>3.0750366666666671E-2</v>
      </c>
      <c r="I23" s="91">
        <f t="shared" si="1"/>
        <v>29631000</v>
      </c>
      <c r="J23" s="99">
        <f t="shared" si="2"/>
        <v>-53345</v>
      </c>
      <c r="K23" s="100">
        <f>-(E22*(H23+$E$4)*D23/365)</f>
        <v>-131030.11456284934</v>
      </c>
      <c r="L23" s="101"/>
      <c r="M23" s="94">
        <f>(H23+$E$4)*D23/365*E22</f>
        <v>131030.11456284935</v>
      </c>
      <c r="N23" s="94">
        <f t="shared" si="13"/>
        <v>-118130.58251429167</v>
      </c>
      <c r="O23" s="99">
        <f t="shared" si="4"/>
        <v>12899.532048557681</v>
      </c>
      <c r="P23" s="101"/>
      <c r="Q23" s="95">
        <f t="shared" si="14"/>
        <v>-171475.58251429166</v>
      </c>
      <c r="R23" s="102"/>
      <c r="S23" s="276">
        <v>45716</v>
      </c>
      <c r="T23" s="97">
        <f t="shared" si="5"/>
        <v>3</v>
      </c>
      <c r="U23" s="94">
        <f t="shared" si="6"/>
        <v>13103.011456284934</v>
      </c>
      <c r="V23" s="94">
        <f t="shared" si="7"/>
        <v>-11651.235535656164</v>
      </c>
      <c r="W23" s="94">
        <f t="shared" si="8"/>
        <v>1451.7759206287701</v>
      </c>
    </row>
    <row r="24" spans="1:23" x14ac:dyDescent="0.25">
      <c r="A24" s="239">
        <f t="shared" si="0"/>
        <v>29577443.60273812</v>
      </c>
      <c r="B24" s="105"/>
      <c r="C24" s="86">
        <v>45742</v>
      </c>
      <c r="D24" s="97">
        <f t="shared" si="9"/>
        <v>28</v>
      </c>
      <c r="E24" s="91">
        <f t="shared" si="10"/>
        <v>29577444</v>
      </c>
      <c r="F24" s="89">
        <f t="shared" si="12"/>
        <v>-171474.98780092856</v>
      </c>
      <c r="H24" s="98">
        <f>'Dettes - CORRA'!E14</f>
        <v>2.9333700000000004E-2</v>
      </c>
      <c r="I24" s="91">
        <f t="shared" si="1"/>
        <v>29577444</v>
      </c>
      <c r="J24" s="99">
        <f t="shared" si="2"/>
        <v>-53556</v>
      </c>
      <c r="K24" s="100">
        <f>-(E23*(H24+$E$4)*D24/365)</f>
        <v>-118854.82808547947</v>
      </c>
      <c r="L24" s="101"/>
      <c r="M24" s="94">
        <f>(H24+$E$4)*D24/365*E23</f>
        <v>118854.82808547946</v>
      </c>
      <c r="N24" s="94">
        <f t="shared" si="13"/>
        <v>-117918.29297499999</v>
      </c>
      <c r="O24" s="99">
        <f t="shared" si="4"/>
        <v>936.53511047946813</v>
      </c>
      <c r="P24" s="101"/>
      <c r="Q24" s="95">
        <f t="shared" si="14"/>
        <v>-171474.29297499999</v>
      </c>
      <c r="R24" s="102"/>
      <c r="S24" s="276">
        <v>45747</v>
      </c>
      <c r="T24" s="97">
        <f t="shared" si="5"/>
        <v>6</v>
      </c>
      <c r="U24" s="94">
        <f t="shared" si="6"/>
        <v>25468.89173260274</v>
      </c>
      <c r="V24" s="94">
        <f t="shared" si="7"/>
        <v>-23260.594778630137</v>
      </c>
      <c r="W24" s="94">
        <f t="shared" si="8"/>
        <v>2208.2969539726037</v>
      </c>
    </row>
    <row r="25" spans="1:23" x14ac:dyDescent="0.25">
      <c r="A25" s="239">
        <f t="shared" si="0"/>
        <v>29523673.777105164</v>
      </c>
      <c r="B25" s="105"/>
      <c r="C25" s="86">
        <v>45775</v>
      </c>
      <c r="D25" s="97">
        <f t="shared" si="9"/>
        <v>33</v>
      </c>
      <c r="E25" s="91">
        <f t="shared" si="10"/>
        <v>29523674</v>
      </c>
      <c r="F25" s="89">
        <f t="shared" si="12"/>
        <v>-171474.98780092856</v>
      </c>
      <c r="H25" s="98">
        <f>'Dettes - CORRA'!E15</f>
        <v>2.7174609090909095E-2</v>
      </c>
      <c r="I25" s="91">
        <f t="shared" si="1"/>
        <v>29523674</v>
      </c>
      <c r="J25" s="99">
        <f t="shared" si="2"/>
        <v>-53770</v>
      </c>
      <c r="K25" s="100">
        <f t="shared" si="3"/>
        <v>-134052.04238092274</v>
      </c>
      <c r="L25" s="101"/>
      <c r="M25" s="94">
        <f t="shared" si="11"/>
        <v>134052.04238092277</v>
      </c>
      <c r="N25" s="94">
        <f t="shared" si="13"/>
        <v>-117705.1637489</v>
      </c>
      <c r="O25" s="99">
        <f t="shared" si="4"/>
        <v>16346.878632022766</v>
      </c>
      <c r="P25" s="101"/>
      <c r="Q25" s="95">
        <f t="shared" si="14"/>
        <v>-171475.16374889997</v>
      </c>
      <c r="R25" s="102"/>
      <c r="S25" s="276">
        <v>45777</v>
      </c>
      <c r="T25" s="97">
        <f t="shared" si="5"/>
        <v>3</v>
      </c>
      <c r="U25" s="94">
        <f t="shared" si="6"/>
        <v>12186.549307356614</v>
      </c>
      <c r="V25" s="94">
        <f t="shared" si="7"/>
        <v>-11609.276424549042</v>
      </c>
      <c r="W25" s="94">
        <f t="shared" si="8"/>
        <v>577.27288280757239</v>
      </c>
    </row>
    <row r="26" spans="1:23" x14ac:dyDescent="0.25">
      <c r="A26" s="239">
        <f t="shared" si="0"/>
        <v>29469689.971314527</v>
      </c>
      <c r="B26" s="105"/>
      <c r="C26" s="86">
        <v>45803</v>
      </c>
      <c r="D26" s="97">
        <f t="shared" si="9"/>
        <v>28</v>
      </c>
      <c r="E26" s="91">
        <f t="shared" si="10"/>
        <v>29469690</v>
      </c>
      <c r="F26" s="89">
        <f t="shared" si="12"/>
        <v>-171474.98780092856</v>
      </c>
      <c r="H26" s="98">
        <f>'Dettes - CORRA'!E16</f>
        <v>2.5583700000000015E-2</v>
      </c>
      <c r="I26" s="91">
        <f t="shared" si="1"/>
        <v>29469690</v>
      </c>
      <c r="J26" s="99">
        <f t="shared" si="2"/>
        <v>-53984</v>
      </c>
      <c r="K26" s="100">
        <f t="shared" si="3"/>
        <v>-109931.21409941044</v>
      </c>
      <c r="L26" s="101"/>
      <c r="M26" s="94">
        <f>(H26+$E$4)*D26/365*E25</f>
        <v>109931.21409941044</v>
      </c>
      <c r="N26" s="94">
        <f>-($E$5*E25/12)</f>
        <v>-117491.18289731666</v>
      </c>
      <c r="O26" s="99">
        <f t="shared" si="4"/>
        <v>-7559.9687979062146</v>
      </c>
      <c r="P26" s="101"/>
      <c r="Q26" s="95">
        <f t="shared" si="14"/>
        <v>-171475.18289731667</v>
      </c>
      <c r="R26" s="102"/>
      <c r="S26" s="276">
        <v>45808</v>
      </c>
      <c r="T26" s="97">
        <f t="shared" si="5"/>
        <v>6</v>
      </c>
      <c r="U26" s="94">
        <f t="shared" si="6"/>
        <v>23556.688735587952</v>
      </c>
      <c r="V26" s="94">
        <f t="shared" si="7"/>
        <v>-23176.342927689864</v>
      </c>
      <c r="W26" s="94">
        <f t="shared" si="8"/>
        <v>380.34580789808751</v>
      </c>
    </row>
    <row r="27" spans="1:23" x14ac:dyDescent="0.25">
      <c r="A27" s="239">
        <f t="shared" si="0"/>
        <v>29415491.333819691</v>
      </c>
      <c r="B27" s="105"/>
      <c r="C27" s="86">
        <v>45834</v>
      </c>
      <c r="D27" s="97">
        <f t="shared" si="9"/>
        <v>31</v>
      </c>
      <c r="E27" s="91">
        <f t="shared" si="10"/>
        <v>29415491</v>
      </c>
      <c r="F27" s="89">
        <f t="shared" si="12"/>
        <v>-171474.98780092856</v>
      </c>
      <c r="H27" s="98">
        <f>'Dettes - CORRA'!E17</f>
        <v>2.3809506451612915E-2</v>
      </c>
      <c r="I27" s="91">
        <f t="shared" si="1"/>
        <v>29415491</v>
      </c>
      <c r="J27" s="99">
        <f t="shared" si="2"/>
        <v>-54199</v>
      </c>
      <c r="K27" s="100">
        <f t="shared" si="3"/>
        <v>-117046.3744766466</v>
      </c>
      <c r="L27" s="101"/>
      <c r="M27" s="94">
        <f t="shared" si="11"/>
        <v>117046.3744766466</v>
      </c>
      <c r="N27" s="94">
        <f t="shared" si="13"/>
        <v>-117276.35042024999</v>
      </c>
      <c r="O27" s="99">
        <f t="shared" si="4"/>
        <v>-229.97594360339281</v>
      </c>
      <c r="P27" s="101"/>
      <c r="Q27" s="95">
        <f t="shared" si="14"/>
        <v>-171475.35042024998</v>
      </c>
      <c r="R27" s="102"/>
      <c r="S27" s="276">
        <v>45838</v>
      </c>
      <c r="T27" s="97">
        <f t="shared" si="5"/>
        <v>5</v>
      </c>
      <c r="U27" s="94">
        <f t="shared" si="6"/>
        <v>18878.447496233326</v>
      </c>
      <c r="V27" s="94">
        <f t="shared" si="7"/>
        <v>-19278.304178671231</v>
      </c>
      <c r="W27" s="94">
        <f t="shared" si="8"/>
        <v>-399.85668243790496</v>
      </c>
    </row>
    <row r="28" spans="1:23" x14ac:dyDescent="0.25">
      <c r="A28" s="239">
        <f t="shared" si="0"/>
        <v>29361077.009685356</v>
      </c>
      <c r="B28" s="105"/>
      <c r="C28" s="86">
        <v>45866</v>
      </c>
      <c r="D28" s="97">
        <f t="shared" si="9"/>
        <v>32</v>
      </c>
      <c r="E28" s="91">
        <f t="shared" si="10"/>
        <v>29361077</v>
      </c>
      <c r="F28" s="89">
        <f t="shared" si="12"/>
        <v>-171474.98780092856</v>
      </c>
      <c r="H28" s="98">
        <f>'Dettes - CORRA'!E18</f>
        <v>2.3083700000000013E-2</v>
      </c>
      <c r="I28" s="91">
        <f t="shared" si="1"/>
        <v>29361077</v>
      </c>
      <c r="J28" s="99">
        <f t="shared" si="2"/>
        <v>-54414</v>
      </c>
      <c r="K28" s="100">
        <f t="shared" si="3"/>
        <v>-118728.0781023036</v>
      </c>
      <c r="L28" s="101"/>
      <c r="M28" s="94">
        <f t="shared" si="11"/>
        <v>118728.0781023036</v>
      </c>
      <c r="N28" s="94">
        <f t="shared" si="13"/>
        <v>-117060.66233814166</v>
      </c>
      <c r="O28" s="99">
        <f t="shared" si="4"/>
        <v>1667.4157641619386</v>
      </c>
      <c r="P28" s="101"/>
      <c r="Q28" s="95">
        <f t="shared" si="14"/>
        <v>-171474.66233814167</v>
      </c>
      <c r="R28" s="102"/>
      <c r="S28" s="276">
        <v>45869</v>
      </c>
      <c r="T28" s="97">
        <f t="shared" si="5"/>
        <v>4</v>
      </c>
      <c r="U28" s="94">
        <f t="shared" si="6"/>
        <v>14841.00976278795</v>
      </c>
      <c r="V28" s="94">
        <f t="shared" si="7"/>
        <v>-15394.278882824108</v>
      </c>
      <c r="W28" s="94">
        <f t="shared" si="8"/>
        <v>-553.26912003615871</v>
      </c>
    </row>
    <row r="29" spans="1:23" x14ac:dyDescent="0.25">
      <c r="A29" s="239">
        <f t="shared" si="0"/>
        <v>29306446.14057396</v>
      </c>
      <c r="B29" s="105"/>
      <c r="C29" s="86">
        <v>45895</v>
      </c>
      <c r="D29" s="97">
        <f t="shared" si="9"/>
        <v>29</v>
      </c>
      <c r="E29" s="91">
        <f t="shared" si="10"/>
        <v>29306446</v>
      </c>
      <c r="F29" s="89">
        <f t="shared" si="12"/>
        <v>-171474.98780092856</v>
      </c>
      <c r="H29" s="98">
        <f>'Dettes - CORRA'!E19</f>
        <v>2.3083700000000019E-2</v>
      </c>
      <c r="I29" s="91">
        <f t="shared" si="1"/>
        <v>29306446</v>
      </c>
      <c r="J29" s="99">
        <f t="shared" si="2"/>
        <v>-54631</v>
      </c>
      <c r="K29" s="100">
        <f t="shared" si="3"/>
        <v>-107398.28277629375</v>
      </c>
      <c r="L29" s="101"/>
      <c r="M29" s="94">
        <f t="shared" si="11"/>
        <v>107398.28277629375</v>
      </c>
      <c r="N29" s="94">
        <f t="shared" si="13"/>
        <v>-116844.11865099166</v>
      </c>
      <c r="O29" s="99">
        <f t="shared" si="4"/>
        <v>-9445.8358746979065</v>
      </c>
      <c r="P29" s="101"/>
      <c r="Q29" s="95">
        <f t="shared" si="14"/>
        <v>-171475.11865099164</v>
      </c>
      <c r="R29" s="102"/>
      <c r="S29" s="276">
        <v>45900</v>
      </c>
      <c r="T29" s="97">
        <f t="shared" si="5"/>
        <v>6</v>
      </c>
      <c r="U29" s="94">
        <f t="shared" si="6"/>
        <v>22220.334367509047</v>
      </c>
      <c r="V29" s="94">
        <f t="shared" si="7"/>
        <v>-23048.702857181917</v>
      </c>
      <c r="W29" s="94">
        <f t="shared" si="8"/>
        <v>-828.36848967287006</v>
      </c>
    </row>
    <row r="30" spans="1:23" x14ac:dyDescent="0.25">
      <c r="A30" s="239">
        <f t="shared" si="0"/>
        <v>29251597.864732135</v>
      </c>
      <c r="B30" s="105"/>
      <c r="C30" s="86">
        <v>45926</v>
      </c>
      <c r="D30" s="97">
        <f t="shared" si="9"/>
        <v>31</v>
      </c>
      <c r="E30" s="91">
        <f t="shared" si="10"/>
        <v>29251598</v>
      </c>
      <c r="F30" s="89">
        <f t="shared" si="12"/>
        <v>-171474.98780092856</v>
      </c>
      <c r="H30" s="98">
        <f>'Dettes - CORRA'!E20</f>
        <v>2.3083700000000013E-2</v>
      </c>
      <c r="I30" s="91">
        <f t="shared" si="1"/>
        <v>29251598</v>
      </c>
      <c r="J30" s="99">
        <f t="shared" si="2"/>
        <v>-54848</v>
      </c>
      <c r="K30" s="100">
        <f t="shared" si="3"/>
        <v>-114591.44764196826</v>
      </c>
      <c r="L30" s="101"/>
      <c r="M30" s="94">
        <f t="shared" si="11"/>
        <v>114591.44764196825</v>
      </c>
      <c r="N30" s="94">
        <f t="shared" si="13"/>
        <v>-116626.71139968332</v>
      </c>
      <c r="O30" s="99">
        <f t="shared" si="4"/>
        <v>-2035.2637577150745</v>
      </c>
      <c r="P30" s="101"/>
      <c r="Q30" s="95">
        <f t="shared" si="14"/>
        <v>-171474.71139968332</v>
      </c>
      <c r="R30" s="102"/>
      <c r="S30" s="276">
        <v>45930</v>
      </c>
      <c r="T30" s="97">
        <f t="shared" si="5"/>
        <v>5</v>
      </c>
      <c r="U30" s="94">
        <f t="shared" si="6"/>
        <v>18482.491555156168</v>
      </c>
      <c r="V30" s="94">
        <f t="shared" si="7"/>
        <v>-19171.514202687667</v>
      </c>
      <c r="W30" s="94">
        <f t="shared" si="8"/>
        <v>-689.02264753149939</v>
      </c>
    </row>
    <row r="31" spans="1:23" x14ac:dyDescent="0.25">
      <c r="A31" s="239">
        <f t="shared" si="0"/>
        <v>29196531.316977117</v>
      </c>
      <c r="B31" s="105"/>
      <c r="C31" s="86">
        <v>45957</v>
      </c>
      <c r="D31" s="97">
        <f t="shared" si="9"/>
        <v>31</v>
      </c>
      <c r="E31" s="91">
        <f t="shared" si="10"/>
        <v>29196531</v>
      </c>
      <c r="F31" s="89">
        <f t="shared" si="12"/>
        <v>-171474.98780092856</v>
      </c>
      <c r="H31" s="98">
        <f>'Dettes - CORRA'!E21</f>
        <v>2.3083700000000013E-2</v>
      </c>
      <c r="I31" s="91">
        <f t="shared" si="1"/>
        <v>29196531</v>
      </c>
      <c r="J31" s="99">
        <f t="shared" si="2"/>
        <v>-55067</v>
      </c>
      <c r="K31" s="100">
        <f t="shared" si="3"/>
        <v>-114376.98589112113</v>
      </c>
      <c r="L31" s="101"/>
      <c r="M31" s="94">
        <f>(H31+$E$4)*D31/365*E30</f>
        <v>114376.98589112112</v>
      </c>
      <c r="N31" s="94">
        <f t="shared" si="13"/>
        <v>-116408.44058421666</v>
      </c>
      <c r="O31" s="99">
        <f t="shared" si="4"/>
        <v>-2031.4546930955403</v>
      </c>
      <c r="P31" s="101"/>
      <c r="Q31" s="95">
        <f t="shared" si="14"/>
        <v>-171475.44058421667</v>
      </c>
      <c r="R31" s="102"/>
      <c r="S31" s="276">
        <v>45961</v>
      </c>
      <c r="T31" s="97">
        <f t="shared" si="5"/>
        <v>5</v>
      </c>
      <c r="U31" s="94">
        <f t="shared" si="6"/>
        <v>18447.900950180825</v>
      </c>
      <c r="V31" s="94">
        <f t="shared" si="7"/>
        <v>-19135.634068638352</v>
      </c>
      <c r="W31" s="94">
        <f t="shared" si="8"/>
        <v>-687.73311845752687</v>
      </c>
    </row>
    <row r="32" spans="1:23" x14ac:dyDescent="0.25">
      <c r="A32" s="239">
        <f t="shared" si="0"/>
        <v>29141245.62868309</v>
      </c>
      <c r="B32" s="105"/>
      <c r="C32" s="86">
        <v>45987</v>
      </c>
      <c r="D32" s="97">
        <f t="shared" si="9"/>
        <v>30</v>
      </c>
      <c r="E32" s="91">
        <f t="shared" si="10"/>
        <v>29141246</v>
      </c>
      <c r="F32" s="89">
        <f t="shared" si="12"/>
        <v>-171474.98780092856</v>
      </c>
      <c r="H32" s="98">
        <f>'Dettes - CORRA'!E22</f>
        <v>2.3083700000000019E-2</v>
      </c>
      <c r="I32" s="91">
        <f t="shared" si="1"/>
        <v>29141246</v>
      </c>
      <c r="J32" s="99">
        <f t="shared" si="2"/>
        <v>-55285</v>
      </c>
      <c r="K32" s="100">
        <f t="shared" si="3"/>
        <v>-110479.03338003294</v>
      </c>
      <c r="L32" s="101"/>
      <c r="M32" s="94">
        <f t="shared" si="11"/>
        <v>110479.03338003292</v>
      </c>
      <c r="N32" s="94">
        <f t="shared" si="13"/>
        <v>-116189.29824547499</v>
      </c>
      <c r="O32" s="99">
        <f t="shared" si="4"/>
        <v>-5710.2648654420627</v>
      </c>
      <c r="P32" s="101"/>
      <c r="Q32" s="95">
        <f t="shared" si="14"/>
        <v>-171474.29824547499</v>
      </c>
      <c r="R32" s="102"/>
      <c r="S32" s="276">
        <v>45991</v>
      </c>
      <c r="T32" s="97">
        <f t="shared" si="5"/>
        <v>5</v>
      </c>
      <c r="U32" s="94">
        <f t="shared" si="6"/>
        <v>18413.17223000549</v>
      </c>
      <c r="V32" s="94">
        <f t="shared" si="7"/>
        <v>-19099.610670489037</v>
      </c>
      <c r="W32" s="94">
        <f t="shared" si="8"/>
        <v>-686.43844048354731</v>
      </c>
    </row>
    <row r="33" spans="1:23" x14ac:dyDescent="0.25">
      <c r="A33" s="239">
        <f t="shared" si="0"/>
        <v>29085739.9277675</v>
      </c>
      <c r="B33" s="105"/>
      <c r="C33" s="86">
        <v>46020</v>
      </c>
      <c r="D33" s="97">
        <f t="shared" si="9"/>
        <v>33</v>
      </c>
      <c r="E33" s="91">
        <f t="shared" si="10"/>
        <v>29085740</v>
      </c>
      <c r="F33" s="89">
        <f t="shared" si="12"/>
        <v>-171474.98780092856</v>
      </c>
      <c r="H33" s="98">
        <f>'Dettes - CORRA'!E23</f>
        <v>2.3083700000000013E-2</v>
      </c>
      <c r="I33" s="91">
        <f t="shared" si="1"/>
        <v>29085740</v>
      </c>
      <c r="J33" s="99">
        <f t="shared" si="2"/>
        <v>-55506</v>
      </c>
      <c r="K33" s="100">
        <f t="shared" si="3"/>
        <v>-121296.81976693483</v>
      </c>
      <c r="L33" s="101"/>
      <c r="M33" s="94">
        <f>(H33+$E$4)*D33/365*E32</f>
        <v>121296.81976693484</v>
      </c>
      <c r="N33" s="94">
        <f t="shared" si="13"/>
        <v>-115969.28836301666</v>
      </c>
      <c r="O33" s="99">
        <f t="shared" si="4"/>
        <v>5327.5314039181831</v>
      </c>
      <c r="P33" s="101"/>
      <c r="Q33" s="95">
        <f t="shared" si="14"/>
        <v>-171475.28836301668</v>
      </c>
      <c r="R33" s="102"/>
      <c r="S33" s="276">
        <v>46022</v>
      </c>
      <c r="T33" s="97">
        <f t="shared" si="5"/>
        <v>3</v>
      </c>
      <c r="U33" s="94">
        <f t="shared" si="6"/>
        <v>11026.983615175894</v>
      </c>
      <c r="V33" s="94">
        <f t="shared" si="7"/>
        <v>-11438.066797448218</v>
      </c>
      <c r="W33" s="94">
        <f t="shared" si="8"/>
        <v>-411.08318227232485</v>
      </c>
    </row>
    <row r="34" spans="1:23" x14ac:dyDescent="0.25">
      <c r="A34" s="239">
        <f t="shared" si="0"/>
        <v>29030013.338677283</v>
      </c>
      <c r="B34" s="105"/>
      <c r="C34" s="86">
        <v>46048</v>
      </c>
      <c r="D34" s="97">
        <f t="shared" si="9"/>
        <v>28</v>
      </c>
      <c r="E34" s="91">
        <f t="shared" si="10"/>
        <v>29030013</v>
      </c>
      <c r="F34" s="89">
        <f t="shared" si="12"/>
        <v>-171474.98780092856</v>
      </c>
      <c r="H34" s="98">
        <f>'Dettes - CORRA'!E24</f>
        <v>2.3083700000000023E-2</v>
      </c>
      <c r="I34" s="91">
        <f t="shared" si="1"/>
        <v>29030013</v>
      </c>
      <c r="J34" s="99">
        <f t="shared" si="2"/>
        <v>-55727</v>
      </c>
      <c r="K34" s="100">
        <f t="shared" si="3"/>
        <v>-102722.4824867069</v>
      </c>
      <c r="L34" s="101"/>
      <c r="M34" s="94">
        <f t="shared" si="11"/>
        <v>102722.48248670688</v>
      </c>
      <c r="N34" s="94">
        <f t="shared" si="13"/>
        <v>-115748.39899816667</v>
      </c>
      <c r="O34" s="99">
        <f t="shared" si="4"/>
        <v>-13025.916511459785</v>
      </c>
      <c r="P34" s="101"/>
      <c r="Q34" s="95">
        <f>J34+K34+O34</f>
        <v>-171475.39899816667</v>
      </c>
      <c r="R34" s="102"/>
      <c r="S34" s="276">
        <v>46053</v>
      </c>
      <c r="T34" s="97">
        <f t="shared" si="5"/>
        <v>6</v>
      </c>
      <c r="U34" s="94">
        <f t="shared" si="6"/>
        <v>22011.96053286576</v>
      </c>
      <c r="V34" s="94">
        <f t="shared" si="7"/>
        <v>-22832.560898268493</v>
      </c>
      <c r="W34" s="94">
        <f t="shared" si="8"/>
        <v>-820.60036540273359</v>
      </c>
    </row>
    <row r="35" spans="1:23" x14ac:dyDescent="0.25">
      <c r="A35" s="239">
        <f t="shared" si="0"/>
        <v>28974064.982375063</v>
      </c>
      <c r="B35" s="105"/>
      <c r="C35" s="86">
        <v>46079</v>
      </c>
      <c r="D35" s="97">
        <f t="shared" si="9"/>
        <v>31</v>
      </c>
      <c r="E35" s="91">
        <f t="shared" si="10"/>
        <v>28974065</v>
      </c>
      <c r="F35" s="89">
        <f t="shared" si="12"/>
        <v>-171474.98780092856</v>
      </c>
      <c r="H35" s="98">
        <f>'Dettes - CORRA'!E25</f>
        <v>2.3083700000000013E-2</v>
      </c>
      <c r="I35" s="91">
        <f t="shared" si="1"/>
        <v>28974065</v>
      </c>
      <c r="J35" s="99">
        <f t="shared" si="2"/>
        <v>-55948</v>
      </c>
      <c r="K35" s="100">
        <f t="shared" si="3"/>
        <v>-113510.56401500059</v>
      </c>
      <c r="L35" s="101"/>
      <c r="M35" s="94">
        <f t="shared" si="11"/>
        <v>113510.56401500058</v>
      </c>
      <c r="N35" s="94">
        <f t="shared" si="13"/>
        <v>-115526.630150925</v>
      </c>
      <c r="O35" s="99">
        <f t="shared" si="4"/>
        <v>-2016.0661359244259</v>
      </c>
      <c r="P35" s="101"/>
      <c r="Q35" s="95">
        <f t="shared" si="14"/>
        <v>-171474.63015092502</v>
      </c>
      <c r="R35" s="102"/>
      <c r="S35" s="276">
        <v>46081</v>
      </c>
      <c r="T35" s="97">
        <f t="shared" si="5"/>
        <v>3</v>
      </c>
      <c r="U35" s="94">
        <f t="shared" si="6"/>
        <v>10984.89329177425</v>
      </c>
      <c r="V35" s="94">
        <f t="shared" si="7"/>
        <v>-11394.407357351507</v>
      </c>
      <c r="W35" s="94">
        <f t="shared" si="8"/>
        <v>-409.5140655772575</v>
      </c>
    </row>
    <row r="36" spans="1:23" x14ac:dyDescent="0.25">
      <c r="A36" s="239">
        <f t="shared" si="0"/>
        <v>28917893.976325285</v>
      </c>
      <c r="B36" s="105"/>
      <c r="C36" s="86">
        <v>46107</v>
      </c>
      <c r="D36" s="97">
        <f t="shared" si="9"/>
        <v>28</v>
      </c>
      <c r="E36" s="91">
        <f t="shared" si="10"/>
        <v>28917894</v>
      </c>
      <c r="F36" s="89">
        <f t="shared" si="12"/>
        <v>-171474.98780092856</v>
      </c>
      <c r="H36" s="98">
        <f>'Dettes - CORRA'!E26</f>
        <v>2.3083700000000023E-2</v>
      </c>
      <c r="I36" s="91">
        <f t="shared" si="1"/>
        <v>28917894</v>
      </c>
      <c r="J36" s="99">
        <f t="shared" si="2"/>
        <v>-56171</v>
      </c>
      <c r="K36" s="100">
        <f t="shared" si="3"/>
        <v>-102328.07845120004</v>
      </c>
      <c r="L36" s="101"/>
      <c r="M36" s="94">
        <f t="shared" si="11"/>
        <v>102328.07845120004</v>
      </c>
      <c r="N36" s="94">
        <f t="shared" si="13"/>
        <v>-115303.98182129166</v>
      </c>
      <c r="O36" s="99">
        <f t="shared" si="4"/>
        <v>-12975.903370091619</v>
      </c>
      <c r="P36" s="101"/>
      <c r="Q36" s="95">
        <f t="shared" si="14"/>
        <v>-171474.98182129167</v>
      </c>
      <c r="R36" s="102"/>
      <c r="S36" s="276">
        <v>46112</v>
      </c>
      <c r="T36" s="97">
        <f t="shared" si="5"/>
        <v>6</v>
      </c>
      <c r="U36" s="94">
        <f t="shared" si="6"/>
        <v>21927.445382400008</v>
      </c>
      <c r="V36" s="94">
        <f t="shared" si="7"/>
        <v>-22744.895044199999</v>
      </c>
      <c r="W36" s="94">
        <f t="shared" si="8"/>
        <v>-817.44966179999028</v>
      </c>
    </row>
    <row r="37" spans="1:23" x14ac:dyDescent="0.25">
      <c r="A37" s="239">
        <f t="shared" si="0"/>
        <v>28861499.434480291</v>
      </c>
      <c r="B37" s="105"/>
      <c r="C37" s="86">
        <v>46139</v>
      </c>
      <c r="D37" s="97">
        <f t="shared" si="9"/>
        <v>32</v>
      </c>
      <c r="E37" s="91">
        <f t="shared" si="10"/>
        <v>28861499</v>
      </c>
      <c r="F37" s="89">
        <f t="shared" si="12"/>
        <v>-171474.98780092856</v>
      </c>
      <c r="H37" s="98">
        <f>'Dettes - CORRA'!E27</f>
        <v>2.3083700000000013E-2</v>
      </c>
      <c r="I37" s="91">
        <f t="shared" si="1"/>
        <v>28861499</v>
      </c>
      <c r="J37" s="99">
        <f t="shared" si="2"/>
        <v>-56395</v>
      </c>
      <c r="K37" s="100">
        <f t="shared" si="3"/>
        <v>-116719.65555108826</v>
      </c>
      <c r="L37" s="101"/>
      <c r="M37" s="94">
        <f t="shared" si="11"/>
        <v>116719.65555108826</v>
      </c>
      <c r="N37" s="94">
        <f t="shared" si="13"/>
        <v>-115080.44605014999</v>
      </c>
      <c r="O37" s="99">
        <f t="shared" si="4"/>
        <v>1639.2095009382756</v>
      </c>
      <c r="P37" s="101"/>
      <c r="Q37" s="95">
        <f t="shared" si="14"/>
        <v>-171475.44605015</v>
      </c>
      <c r="R37" s="102"/>
      <c r="S37" s="276">
        <v>46142</v>
      </c>
      <c r="T37" s="97">
        <f t="shared" si="5"/>
        <v>4</v>
      </c>
      <c r="U37" s="94">
        <f t="shared" si="6"/>
        <v>14589.956943886033</v>
      </c>
      <c r="V37" s="94">
        <f t="shared" si="7"/>
        <v>-15133.866877827944</v>
      </c>
      <c r="W37" s="94">
        <f t="shared" si="8"/>
        <v>-543.90993394191173</v>
      </c>
    </row>
    <row r="38" spans="1:23" x14ac:dyDescent="0.25">
      <c r="A38" s="239">
        <f t="shared" si="0"/>
        <v>28804880.467266344</v>
      </c>
      <c r="B38" s="105"/>
      <c r="C38" s="86">
        <v>46168</v>
      </c>
      <c r="D38" s="97">
        <f t="shared" si="9"/>
        <v>29</v>
      </c>
      <c r="E38" s="91">
        <f t="shared" si="10"/>
        <v>28804880</v>
      </c>
      <c r="F38" s="89">
        <f t="shared" si="12"/>
        <v>-171474.98780092856</v>
      </c>
      <c r="H38" s="98">
        <f>'Dettes - CORRA'!E28</f>
        <v>2.3083700000000019E-2</v>
      </c>
      <c r="I38" s="91">
        <f t="shared" si="1"/>
        <v>28804880</v>
      </c>
      <c r="J38" s="99">
        <f t="shared" si="2"/>
        <v>-56619</v>
      </c>
      <c r="K38" s="100">
        <f t="shared" si="3"/>
        <v>-105570.90364736004</v>
      </c>
      <c r="L38" s="101"/>
      <c r="M38" s="94">
        <f t="shared" si="11"/>
        <v>105570.90364736004</v>
      </c>
      <c r="N38" s="94">
        <f t="shared" si="13"/>
        <v>-114856.01885794166</v>
      </c>
      <c r="O38" s="99">
        <f t="shared" si="4"/>
        <v>-9285.1152105816145</v>
      </c>
      <c r="P38" s="101"/>
      <c r="Q38" s="95">
        <f t="shared" si="14"/>
        <v>-171475.01885794167</v>
      </c>
      <c r="R38" s="102"/>
      <c r="S38" s="276">
        <v>46173</v>
      </c>
      <c r="T38" s="97">
        <f t="shared" si="5"/>
        <v>6</v>
      </c>
      <c r="U38" s="94">
        <f t="shared" si="6"/>
        <v>21842.255927040009</v>
      </c>
      <c r="V38" s="94">
        <f t="shared" si="7"/>
        <v>-22656.529747320001</v>
      </c>
      <c r="W38" s="94">
        <f t="shared" si="8"/>
        <v>-814.27382027999192</v>
      </c>
    </row>
    <row r="39" spans="1:23" x14ac:dyDescent="0.25">
      <c r="A39" s="239">
        <f t="shared" si="0"/>
        <v>28748036.181569595</v>
      </c>
      <c r="B39" s="105"/>
      <c r="C39" s="86">
        <v>46199</v>
      </c>
      <c r="D39" s="97">
        <f t="shared" si="9"/>
        <v>31</v>
      </c>
      <c r="E39" s="91">
        <f t="shared" si="10"/>
        <v>28748036</v>
      </c>
      <c r="F39" s="89">
        <f t="shared" si="12"/>
        <v>-171474.98780092856</v>
      </c>
      <c r="H39" s="98">
        <f>'Dettes - CORRA'!E29</f>
        <v>2.3083700000000013E-2</v>
      </c>
      <c r="I39" s="91">
        <f t="shared" si="1"/>
        <v>28748036</v>
      </c>
      <c r="J39" s="99">
        <f t="shared" si="2"/>
        <v>-56844</v>
      </c>
      <c r="K39" s="100">
        <f t="shared" si="3"/>
        <v>-112630.2690661699</v>
      </c>
      <c r="L39" s="101"/>
      <c r="M39" s="94">
        <f t="shared" si="11"/>
        <v>112630.26906616989</v>
      </c>
      <c r="N39" s="94">
        <f t="shared" si="13"/>
        <v>-114630.70024466666</v>
      </c>
      <c r="O39" s="99">
        <f t="shared" si="4"/>
        <v>-2000.4311784967722</v>
      </c>
      <c r="P39" s="101"/>
      <c r="Q39" s="95">
        <f t="shared" si="14"/>
        <v>-171474.70024466669</v>
      </c>
      <c r="R39" s="102"/>
      <c r="S39" s="276">
        <v>46203</v>
      </c>
      <c r="T39" s="97">
        <f t="shared" si="5"/>
        <v>5</v>
      </c>
      <c r="U39" s="94">
        <f t="shared" si="6"/>
        <v>18166.1724300274</v>
      </c>
      <c r="V39" s="94">
        <f t="shared" si="7"/>
        <v>-18843.402779945201</v>
      </c>
      <c r="W39" s="94">
        <f t="shared" si="8"/>
        <v>-677.2303499178015</v>
      </c>
    </row>
    <row r="40" spans="1:23" x14ac:dyDescent="0.25">
      <c r="A40" s="239">
        <f t="shared" si="0"/>
        <v>28690965.680721998</v>
      </c>
      <c r="B40" s="105"/>
      <c r="C40" s="86">
        <v>46230</v>
      </c>
      <c r="D40" s="97">
        <f t="shared" si="9"/>
        <v>31</v>
      </c>
      <c r="E40" s="91">
        <f t="shared" si="10"/>
        <v>28690966</v>
      </c>
      <c r="F40" s="89">
        <f t="shared" si="12"/>
        <v>-171474.98780092856</v>
      </c>
      <c r="H40" s="98">
        <f>'Dettes - CORRA'!E30</f>
        <v>2.3083700000000019E-2</v>
      </c>
      <c r="I40" s="91">
        <f t="shared" si="1"/>
        <v>28690966</v>
      </c>
      <c r="J40" s="99">
        <f t="shared" si="2"/>
        <v>-57070</v>
      </c>
      <c r="K40" s="100">
        <f t="shared" si="3"/>
        <v>-112408.00273439566</v>
      </c>
      <c r="L40" s="101"/>
      <c r="M40" s="94">
        <f t="shared" si="11"/>
        <v>112408.00273439568</v>
      </c>
      <c r="N40" s="94">
        <f t="shared" si="13"/>
        <v>-114404.48623076665</v>
      </c>
      <c r="O40" s="99">
        <f t="shared" si="4"/>
        <v>-1996.4834963709727</v>
      </c>
      <c r="P40" s="101"/>
      <c r="Q40" s="95">
        <f t="shared" si="14"/>
        <v>-171474.48623076663</v>
      </c>
      <c r="R40" s="102"/>
      <c r="S40" s="276">
        <v>46234</v>
      </c>
      <c r="T40" s="97">
        <f t="shared" si="5"/>
        <v>5</v>
      </c>
      <c r="U40" s="94">
        <f t="shared" si="6"/>
        <v>18130.323021676722</v>
      </c>
      <c r="V40" s="94">
        <f t="shared" si="7"/>
        <v>-18806.216914646571</v>
      </c>
      <c r="W40" s="94">
        <f t="shared" si="8"/>
        <v>-675.89389296984882</v>
      </c>
    </row>
    <row r="41" spans="1:23" x14ac:dyDescent="0.25">
      <c r="A41" s="239">
        <f t="shared" si="0"/>
        <v>28633668.064487167</v>
      </c>
      <c r="B41" s="105"/>
      <c r="C41" s="86">
        <v>46260</v>
      </c>
      <c r="D41" s="97">
        <f t="shared" si="9"/>
        <v>30</v>
      </c>
      <c r="E41" s="91">
        <f t="shared" si="10"/>
        <v>28633668</v>
      </c>
      <c r="F41" s="89">
        <f t="shared" si="12"/>
        <v>-171474.98780092856</v>
      </c>
      <c r="H41" s="98">
        <f>'Dettes - CORRA'!E31</f>
        <v>2.3083700000000019E-2</v>
      </c>
      <c r="I41" s="91">
        <f t="shared" si="1"/>
        <v>28633668</v>
      </c>
      <c r="J41" s="99">
        <f t="shared" si="2"/>
        <v>-57298</v>
      </c>
      <c r="K41" s="100">
        <f t="shared" si="3"/>
        <v>-108565.98650090964</v>
      </c>
      <c r="L41" s="101"/>
      <c r="M41" s="94">
        <f t="shared" si="11"/>
        <v>108565.98650090964</v>
      </c>
      <c r="N41" s="94">
        <f t="shared" si="13"/>
        <v>-114177.37283668334</v>
      </c>
      <c r="O41" s="99">
        <f t="shared" si="4"/>
        <v>-5611.3863357736991</v>
      </c>
      <c r="P41" s="101"/>
      <c r="Q41" s="95">
        <f t="shared" si="14"/>
        <v>-171475.37283668335</v>
      </c>
      <c r="R41" s="102"/>
      <c r="S41" s="276">
        <v>46265</v>
      </c>
      <c r="T41" s="97">
        <f t="shared" si="5"/>
        <v>6</v>
      </c>
      <c r="U41" s="94">
        <f t="shared" si="6"/>
        <v>21713.197300181924</v>
      </c>
      <c r="V41" s="94">
        <f t="shared" si="7"/>
        <v>-22522.659847236166</v>
      </c>
      <c r="W41" s="94">
        <f t="shared" si="8"/>
        <v>-809.46254705424144</v>
      </c>
    </row>
    <row r="42" spans="1:23" x14ac:dyDescent="0.25">
      <c r="A42" s="239">
        <f t="shared" si="0"/>
        <v>28576142.429046169</v>
      </c>
      <c r="B42" s="105"/>
      <c r="C42" s="86">
        <v>46293</v>
      </c>
      <c r="D42" s="97">
        <f t="shared" si="9"/>
        <v>33</v>
      </c>
      <c r="E42" s="91">
        <f t="shared" si="10"/>
        <v>28576142</v>
      </c>
      <c r="F42" s="89">
        <f t="shared" si="12"/>
        <v>-171474.98780092856</v>
      </c>
      <c r="H42" s="98">
        <f>'Dettes - CORRA'!E32</f>
        <v>2.3083700000000013E-2</v>
      </c>
      <c r="I42" s="91">
        <f t="shared" si="1"/>
        <v>28576142</v>
      </c>
      <c r="J42" s="99">
        <f t="shared" si="2"/>
        <v>-57526</v>
      </c>
      <c r="K42" s="100">
        <f t="shared" si="3"/>
        <v>-119184.08933723181</v>
      </c>
      <c r="L42" s="101"/>
      <c r="M42" s="94">
        <f t="shared" si="11"/>
        <v>119184.08933723182</v>
      </c>
      <c r="N42" s="94">
        <f t="shared" si="13"/>
        <v>-113949.35210329999</v>
      </c>
      <c r="O42" s="99">
        <f t="shared" si="4"/>
        <v>5234.737233931839</v>
      </c>
      <c r="P42" s="101"/>
      <c r="Q42" s="95">
        <f t="shared" si="14"/>
        <v>-171475.35210329999</v>
      </c>
      <c r="R42" s="102"/>
      <c r="S42" s="276">
        <v>46295</v>
      </c>
      <c r="T42" s="97">
        <f t="shared" si="5"/>
        <v>3</v>
      </c>
      <c r="U42" s="94">
        <f t="shared" si="6"/>
        <v>10834.917212475621</v>
      </c>
      <c r="V42" s="94">
        <f t="shared" si="7"/>
        <v>-11238.840207448768</v>
      </c>
      <c r="W42" s="94">
        <f t="shared" si="8"/>
        <v>-403.92299497314707</v>
      </c>
    </row>
    <row r="43" spans="1:23" x14ac:dyDescent="0.25">
      <c r="A43" s="239">
        <f t="shared" si="0"/>
        <v>28518387.866983268</v>
      </c>
      <c r="B43" s="105"/>
      <c r="C43" s="86">
        <v>46321</v>
      </c>
      <c r="D43" s="97">
        <f t="shared" si="9"/>
        <v>28</v>
      </c>
      <c r="E43" s="91">
        <f t="shared" si="10"/>
        <v>28518388</v>
      </c>
      <c r="F43" s="89">
        <f t="shared" si="12"/>
        <v>-171474.98780092856</v>
      </c>
      <c r="H43" s="98">
        <f>'Dettes - CORRA'!E33</f>
        <v>2.3083700000000023E-2</v>
      </c>
      <c r="I43" s="91">
        <f t="shared" si="1"/>
        <v>28518388</v>
      </c>
      <c r="J43" s="99">
        <f t="shared" si="2"/>
        <v>-57754</v>
      </c>
      <c r="K43" s="100">
        <f t="shared" si="3"/>
        <v>-100922.72866816004</v>
      </c>
      <c r="L43" s="101"/>
      <c r="M43" s="94">
        <f t="shared" si="11"/>
        <v>100922.72866816004</v>
      </c>
      <c r="N43" s="94">
        <f t="shared" si="13"/>
        <v>-113720.42403061666</v>
      </c>
      <c r="O43" s="99">
        <f t="shared" si="4"/>
        <v>-12797.695362456623</v>
      </c>
      <c r="P43" s="101"/>
      <c r="Q43" s="95">
        <f t="shared" si="14"/>
        <v>-171474.42403061665</v>
      </c>
      <c r="R43" s="102"/>
      <c r="S43" s="276">
        <v>46326</v>
      </c>
      <c r="T43" s="97">
        <f t="shared" si="5"/>
        <v>6</v>
      </c>
      <c r="U43" s="94">
        <f t="shared" si="6"/>
        <v>21626.299000320007</v>
      </c>
      <c r="V43" s="94">
        <f t="shared" si="7"/>
        <v>-22432.522000559999</v>
      </c>
      <c r="W43" s="94">
        <f t="shared" si="8"/>
        <v>-806.22300023999196</v>
      </c>
    </row>
    <row r="44" spans="1:23" x14ac:dyDescent="0.25">
      <c r="A44" s="239">
        <f t="shared" si="0"/>
        <v>28460403.467271626</v>
      </c>
      <c r="B44" s="105"/>
      <c r="C44" s="86">
        <v>46352</v>
      </c>
      <c r="D44" s="97">
        <f t="shared" si="9"/>
        <v>31</v>
      </c>
      <c r="E44" s="91">
        <f t="shared" si="10"/>
        <v>28460403</v>
      </c>
      <c r="F44" s="89">
        <f t="shared" si="12"/>
        <v>-171474.98780092856</v>
      </c>
      <c r="H44" s="98">
        <f>'Dettes - CORRA'!E34</f>
        <v>2.3083700000000013E-2</v>
      </c>
      <c r="I44" s="91">
        <f t="shared" si="1"/>
        <v>28460403</v>
      </c>
      <c r="J44" s="99">
        <f t="shared" si="2"/>
        <v>-57985</v>
      </c>
      <c r="K44" s="100">
        <f t="shared" si="3"/>
        <v>-111510.05363582251</v>
      </c>
      <c r="L44" s="101"/>
      <c r="M44" s="94">
        <f t="shared" si="11"/>
        <v>111510.05363582249</v>
      </c>
      <c r="N44" s="94">
        <f t="shared" si="13"/>
        <v>-113490.58861863332</v>
      </c>
      <c r="O44" s="99">
        <f t="shared" si="4"/>
        <v>-1980.5349828108301</v>
      </c>
      <c r="P44" s="101"/>
      <c r="Q44" s="95">
        <f t="shared" si="14"/>
        <v>-171475.58861863334</v>
      </c>
      <c r="R44" s="102"/>
      <c r="S44" s="276">
        <v>46356</v>
      </c>
      <c r="T44" s="97">
        <f t="shared" si="5"/>
        <v>5</v>
      </c>
      <c r="U44" s="94">
        <f t="shared" si="6"/>
        <v>17985.492521906854</v>
      </c>
      <c r="V44" s="94">
        <f t="shared" si="7"/>
        <v>-18655.987170186298</v>
      </c>
      <c r="W44" s="94">
        <f t="shared" si="8"/>
        <v>-670.49464827944394</v>
      </c>
    </row>
    <row r="45" spans="1:23" x14ac:dyDescent="0.25">
      <c r="A45" s="239">
        <f t="shared" si="0"/>
        <v>28402188.315258905</v>
      </c>
      <c r="B45" s="105"/>
      <c r="C45" s="86">
        <v>46385</v>
      </c>
      <c r="D45" s="97">
        <f t="shared" si="9"/>
        <v>33</v>
      </c>
      <c r="E45" s="91">
        <f t="shared" si="10"/>
        <v>28402188</v>
      </c>
      <c r="F45" s="89">
        <f t="shared" si="12"/>
        <v>-171474.98780092856</v>
      </c>
      <c r="H45" s="98">
        <f>'Dettes - CORRA'!E35</f>
        <v>2.3083700000000013E-2</v>
      </c>
      <c r="I45" s="91">
        <f t="shared" si="1"/>
        <v>28402188</v>
      </c>
      <c r="J45" s="99">
        <f t="shared" si="2"/>
        <v>-58215</v>
      </c>
      <c r="K45" s="100">
        <f t="shared" si="3"/>
        <v>-118462.89527857977</v>
      </c>
      <c r="L45" s="101"/>
      <c r="M45" s="94">
        <f t="shared" si="11"/>
        <v>118462.89527857977</v>
      </c>
      <c r="N45" s="94">
        <f t="shared" si="13"/>
        <v>-113259.833928675</v>
      </c>
      <c r="O45" s="99">
        <f t="shared" si="4"/>
        <v>5203.0613499047759</v>
      </c>
      <c r="P45" s="101"/>
      <c r="Q45" s="95">
        <f t="shared" si="14"/>
        <v>-171474.83392867501</v>
      </c>
      <c r="R45" s="102"/>
      <c r="S45" s="276">
        <v>46387</v>
      </c>
      <c r="T45" s="97">
        <f t="shared" si="5"/>
        <v>3</v>
      </c>
      <c r="U45" s="94">
        <f t="shared" si="6"/>
        <v>10769.354116234525</v>
      </c>
      <c r="V45" s="94">
        <f t="shared" si="7"/>
        <v>-11170.832935430959</v>
      </c>
      <c r="W45" s="94">
        <f t="shared" si="8"/>
        <v>-401.47881919643442</v>
      </c>
    </row>
    <row r="46" spans="1:23" x14ac:dyDescent="0.25">
      <c r="A46" s="239">
        <f t="shared" si="0"/>
        <v>28343741.492652867</v>
      </c>
      <c r="B46" s="105"/>
      <c r="C46" s="86">
        <v>46413</v>
      </c>
      <c r="D46" s="97">
        <f t="shared" si="9"/>
        <v>28</v>
      </c>
      <c r="E46" s="91">
        <f t="shared" si="10"/>
        <v>28343741</v>
      </c>
      <c r="F46" s="89">
        <f t="shared" si="12"/>
        <v>-171474.98780092856</v>
      </c>
      <c r="H46" s="98"/>
      <c r="I46" s="91">
        <f t="shared" si="1"/>
        <v>28343741</v>
      </c>
      <c r="J46" s="99">
        <f t="shared" si="2"/>
        <v>-58447</v>
      </c>
      <c r="K46" s="100">
        <f t="shared" si="3"/>
        <v>-50013.654073262471</v>
      </c>
      <c r="L46" s="101"/>
      <c r="M46" s="94">
        <f t="shared" si="11"/>
        <v>50013.654073262471</v>
      </c>
      <c r="N46" s="94">
        <f t="shared" si="13"/>
        <v>-113028.1639403</v>
      </c>
      <c r="O46" s="99">
        <f t="shared" si="4"/>
        <v>-63014.50986703753</v>
      </c>
      <c r="P46" s="101"/>
      <c r="Q46" s="95">
        <f t="shared" si="14"/>
        <v>-171475.1639403</v>
      </c>
      <c r="R46" s="102"/>
      <c r="S46" s="276">
        <v>46418</v>
      </c>
      <c r="T46" s="97">
        <f t="shared" si="5"/>
        <v>6</v>
      </c>
      <c r="U46" s="94">
        <f t="shared" si="6"/>
        <v>10717.211587127673</v>
      </c>
      <c r="V46" s="94">
        <f t="shared" si="7"/>
        <v>-22295.966585483835</v>
      </c>
      <c r="W46" s="94">
        <f t="shared" si="8"/>
        <v>-11578.754998356162</v>
      </c>
    </row>
    <row r="47" spans="1:23" x14ac:dyDescent="0.25">
      <c r="A47" s="239">
        <f t="shared" si="0"/>
        <v>28285062.07750687</v>
      </c>
      <c r="B47" s="105"/>
      <c r="C47" s="86">
        <v>46444</v>
      </c>
      <c r="D47" s="97">
        <f t="shared" si="9"/>
        <v>31</v>
      </c>
      <c r="E47" s="91">
        <f t="shared" si="10"/>
        <v>28285062</v>
      </c>
      <c r="F47" s="89">
        <f t="shared" si="12"/>
        <v>-171474.98780092856</v>
      </c>
      <c r="H47" s="98"/>
      <c r="I47" s="91">
        <f t="shared" si="1"/>
        <v>28285062</v>
      </c>
      <c r="J47" s="99">
        <f t="shared" si="2"/>
        <v>-58679</v>
      </c>
      <c r="K47" s="100">
        <f t="shared" si="3"/>
        <v>-55258.312924695078</v>
      </c>
      <c r="L47" s="101"/>
      <c r="M47" s="94">
        <f t="shared" si="11"/>
        <v>55258.312924695078</v>
      </c>
      <c r="N47" s="94">
        <f t="shared" si="13"/>
        <v>-112795.57069439166</v>
      </c>
      <c r="O47" s="99">
        <f t="shared" si="4"/>
        <v>-57537.257769696582</v>
      </c>
      <c r="P47" s="101"/>
      <c r="Q47" s="95">
        <f t="shared" si="14"/>
        <v>-171474.57069439167</v>
      </c>
      <c r="R47" s="102"/>
      <c r="S47" s="276">
        <v>46446</v>
      </c>
      <c r="T47" s="97">
        <f t="shared" si="5"/>
        <v>3</v>
      </c>
      <c r="U47" s="94">
        <f t="shared" si="6"/>
        <v>5347.578670131782</v>
      </c>
      <c r="V47" s="94">
        <f t="shared" si="7"/>
        <v>-11125.042589035889</v>
      </c>
      <c r="W47" s="94">
        <f t="shared" si="8"/>
        <v>-5777.4639189041072</v>
      </c>
    </row>
    <row r="48" spans="1:23" x14ac:dyDescent="0.25">
      <c r="A48" s="239">
        <f t="shared" si="0"/>
        <v>28226149.144205332</v>
      </c>
      <c r="B48" s="105"/>
      <c r="C48" s="86">
        <v>46475</v>
      </c>
      <c r="D48" s="97">
        <f t="shared" si="9"/>
        <v>31</v>
      </c>
      <c r="E48" s="91">
        <f t="shared" si="10"/>
        <v>28226149</v>
      </c>
      <c r="F48" s="89">
        <f t="shared" si="12"/>
        <v>-171474.98780092856</v>
      </c>
      <c r="H48" s="98"/>
      <c r="I48" s="91">
        <f t="shared" si="1"/>
        <v>28226149</v>
      </c>
      <c r="J48" s="99">
        <f t="shared" si="2"/>
        <v>-58913</v>
      </c>
      <c r="K48" s="100">
        <f t="shared" si="3"/>
        <v>-55143.913680639453</v>
      </c>
      <c r="L48" s="101"/>
      <c r="M48" s="94">
        <f t="shared" si="11"/>
        <v>55143.91368063946</v>
      </c>
      <c r="N48" s="94">
        <f t="shared" si="13"/>
        <v>-112562.05419095</v>
      </c>
      <c r="O48" s="99">
        <f t="shared" si="4"/>
        <v>-57418.140510310543</v>
      </c>
      <c r="P48" s="101"/>
      <c r="Q48" s="95">
        <f t="shared" si="14"/>
        <v>-171475.05419095</v>
      </c>
      <c r="S48" s="276">
        <v>46477</v>
      </c>
      <c r="T48" s="97">
        <f t="shared" si="5"/>
        <v>3</v>
      </c>
      <c r="U48" s="94">
        <f t="shared" si="6"/>
        <v>5336.5077755457542</v>
      </c>
      <c r="V48" s="94">
        <f t="shared" si="7"/>
        <v>-11102.010824312876</v>
      </c>
      <c r="W48" s="94">
        <f t="shared" si="8"/>
        <v>-5765.503048767122</v>
      </c>
    </row>
    <row r="49" spans="1:23" x14ac:dyDescent="0.25">
      <c r="A49" s="239">
        <f t="shared" si="0"/>
        <v>28167001.763449132</v>
      </c>
      <c r="B49" s="105"/>
      <c r="C49" s="86">
        <v>46503</v>
      </c>
      <c r="D49" s="97">
        <f t="shared" si="9"/>
        <v>28</v>
      </c>
      <c r="E49" s="91">
        <f t="shared" si="10"/>
        <v>28167002</v>
      </c>
      <c r="F49" s="89">
        <f t="shared" si="12"/>
        <v>-171474.98780092856</v>
      </c>
      <c r="H49" s="98"/>
      <c r="I49" s="91">
        <f t="shared" si="1"/>
        <v>28167002</v>
      </c>
      <c r="J49" s="99">
        <f t="shared" si="2"/>
        <v>-59147</v>
      </c>
      <c r="K49" s="100">
        <f t="shared" si="3"/>
        <v>-49703.665503036718</v>
      </c>
      <c r="L49" s="101"/>
      <c r="M49" s="94">
        <f t="shared" si="11"/>
        <v>49703.665503036718</v>
      </c>
      <c r="N49" s="94">
        <f t="shared" si="13"/>
        <v>-112327.60647085833</v>
      </c>
      <c r="O49" s="99">
        <f t="shared" si="4"/>
        <v>-62623.940967821611</v>
      </c>
      <c r="P49" s="101"/>
      <c r="Q49" s="95">
        <f t="shared" si="14"/>
        <v>-171474.60647085833</v>
      </c>
      <c r="S49" s="276">
        <v>46507</v>
      </c>
      <c r="T49" s="97">
        <f t="shared" si="5"/>
        <v>5</v>
      </c>
      <c r="U49" s="94">
        <f t="shared" si="6"/>
        <v>8875.6545541136984</v>
      </c>
      <c r="V49" s="94">
        <f t="shared" si="7"/>
        <v>-18464.812022606846</v>
      </c>
      <c r="W49" s="94">
        <f t="shared" si="8"/>
        <v>-9589.1574684931475</v>
      </c>
    </row>
    <row r="50" spans="1:23" x14ac:dyDescent="0.25">
      <c r="A50" s="239">
        <f t="shared" si="0"/>
        <v>28107619.002240952</v>
      </c>
      <c r="B50" s="105"/>
      <c r="C50" s="86">
        <v>46533</v>
      </c>
      <c r="D50" s="97">
        <f t="shared" si="9"/>
        <v>30</v>
      </c>
      <c r="E50" s="91">
        <f t="shared" si="10"/>
        <v>28107619</v>
      </c>
      <c r="F50" s="89">
        <f t="shared" si="12"/>
        <v>-171474.98780092856</v>
      </c>
      <c r="H50" s="98"/>
      <c r="I50" s="91">
        <f t="shared" si="1"/>
        <v>28107619</v>
      </c>
      <c r="J50" s="99">
        <f t="shared" si="2"/>
        <v>-59383</v>
      </c>
      <c r="K50" s="100">
        <f t="shared" si="3"/>
        <v>-53142.335408991792</v>
      </c>
      <c r="L50" s="101"/>
      <c r="M50" s="94">
        <f t="shared" si="11"/>
        <v>53142.335408991785</v>
      </c>
      <c r="N50" s="94">
        <f t="shared" si="13"/>
        <v>-112092.22753411665</v>
      </c>
      <c r="O50" s="99">
        <f t="shared" si="4"/>
        <v>-58949.892125124868</v>
      </c>
      <c r="P50" s="101"/>
      <c r="Q50" s="95">
        <f t="shared" si="14"/>
        <v>-171475.22753411665</v>
      </c>
      <c r="S50" s="276">
        <v>46538</v>
      </c>
      <c r="T50" s="97">
        <f t="shared" si="5"/>
        <v>6</v>
      </c>
      <c r="U50" s="94">
        <f t="shared" si="6"/>
        <v>10628.467081798359</v>
      </c>
      <c r="V50" s="94">
        <f t="shared" si="7"/>
        <v>-22111.343513579177</v>
      </c>
      <c r="W50" s="94">
        <f t="shared" si="8"/>
        <v>-11482.876431780818</v>
      </c>
    </row>
    <row r="51" spans="1:23" x14ac:dyDescent="0.25">
      <c r="A51" s="239">
        <f t="shared" si="0"/>
        <v>28047999.923870549</v>
      </c>
      <c r="B51" s="105"/>
      <c r="C51" s="86">
        <v>46566</v>
      </c>
      <c r="D51" s="97">
        <f t="shared" si="9"/>
        <v>33</v>
      </c>
      <c r="E51" s="91">
        <f t="shared" si="10"/>
        <v>28048000</v>
      </c>
      <c r="F51" s="89">
        <f t="shared" si="12"/>
        <v>-171474.98780092856</v>
      </c>
      <c r="H51" s="98"/>
      <c r="I51" s="91">
        <f t="shared" si="1"/>
        <v>28048000</v>
      </c>
      <c r="J51" s="99">
        <f t="shared" si="2"/>
        <v>-59619</v>
      </c>
      <c r="K51" s="100">
        <f t="shared" si="3"/>
        <v>-58333.328058512059</v>
      </c>
      <c r="L51" s="101"/>
      <c r="M51" s="94">
        <f t="shared" si="11"/>
        <v>58333.328058512052</v>
      </c>
      <c r="N51" s="94">
        <f t="shared" si="13"/>
        <v>-111855.90942160832</v>
      </c>
      <c r="O51" s="99">
        <f t="shared" si="4"/>
        <v>-53522.581363096266</v>
      </c>
      <c r="P51" s="101"/>
      <c r="Q51" s="95">
        <f t="shared" si="14"/>
        <v>-171474.90942160832</v>
      </c>
      <c r="S51" s="276">
        <v>46568</v>
      </c>
      <c r="T51" s="97">
        <f t="shared" si="5"/>
        <v>3</v>
      </c>
      <c r="U51" s="94">
        <f t="shared" si="6"/>
        <v>5303.0298235010969</v>
      </c>
      <c r="V51" s="94">
        <f t="shared" si="7"/>
        <v>-11032.363668980548</v>
      </c>
      <c r="W51" s="94">
        <f t="shared" si="8"/>
        <v>-5729.3338454794512</v>
      </c>
    </row>
    <row r="52" spans="1:23" x14ac:dyDescent="0.25">
      <c r="A52" s="239">
        <f t="shared" si="0"/>
        <v>27988143.58789999</v>
      </c>
      <c r="B52" s="105"/>
      <c r="C52" s="86">
        <v>46594</v>
      </c>
      <c r="D52" s="97">
        <f t="shared" si="9"/>
        <v>28</v>
      </c>
      <c r="E52" s="91">
        <f t="shared" si="10"/>
        <v>27988144</v>
      </c>
      <c r="F52" s="89">
        <f t="shared" si="12"/>
        <v>-171474.98780092856</v>
      </c>
      <c r="H52" s="98"/>
      <c r="I52" s="91">
        <f t="shared" si="1"/>
        <v>27988144</v>
      </c>
      <c r="J52" s="99">
        <f t="shared" si="2"/>
        <v>-59856</v>
      </c>
      <c r="K52" s="100">
        <f t="shared" si="3"/>
        <v>-49389.961415890422</v>
      </c>
      <c r="L52" s="101"/>
      <c r="M52" s="94">
        <f t="shared" si="11"/>
        <v>49389.961415890415</v>
      </c>
      <c r="N52" s="94">
        <f t="shared" si="13"/>
        <v>-111618.65213333332</v>
      </c>
      <c r="O52" s="99">
        <f t="shared" si="4"/>
        <v>-62228.690717442907</v>
      </c>
      <c r="P52" s="101"/>
      <c r="Q52" s="95">
        <f t="shared" si="14"/>
        <v>-171474.65213333332</v>
      </c>
      <c r="S52" s="276">
        <v>46599</v>
      </c>
      <c r="T52" s="97">
        <f t="shared" si="5"/>
        <v>6</v>
      </c>
      <c r="U52" s="94">
        <f t="shared" si="6"/>
        <v>10583.563160547947</v>
      </c>
      <c r="V52" s="94">
        <f t="shared" si="7"/>
        <v>-22017.925900273971</v>
      </c>
      <c r="W52" s="94">
        <f t="shared" si="8"/>
        <v>-11434.362739726024</v>
      </c>
    </row>
    <row r="53" spans="1:23" x14ac:dyDescent="0.25">
      <c r="A53" s="239">
        <f t="shared" si="0"/>
        <v>27928049.050148819</v>
      </c>
      <c r="B53" s="105"/>
      <c r="C53" s="86">
        <v>46625</v>
      </c>
      <c r="D53" s="97">
        <f t="shared" si="9"/>
        <v>31</v>
      </c>
      <c r="E53" s="91">
        <f t="shared" si="10"/>
        <v>27928049</v>
      </c>
      <c r="F53" s="89">
        <f t="shared" si="12"/>
        <v>-171474.98780092856</v>
      </c>
      <c r="H53" s="98"/>
      <c r="I53" s="91">
        <f t="shared" si="1"/>
        <v>27928049</v>
      </c>
      <c r="J53" s="99">
        <f t="shared" si="2"/>
        <v>-60095</v>
      </c>
      <c r="K53" s="100">
        <f t="shared" si="3"/>
        <v>-54565.049099673422</v>
      </c>
      <c r="L53" s="101"/>
      <c r="M53" s="94">
        <f t="shared" si="11"/>
        <v>54565.04909967343</v>
      </c>
      <c r="N53" s="94">
        <f t="shared" si="13"/>
        <v>-111380.45168973332</v>
      </c>
      <c r="O53" s="99">
        <f t="shared" si="4"/>
        <v>-56815.402590059894</v>
      </c>
      <c r="P53" s="101"/>
      <c r="Q53" s="95">
        <f t="shared" si="14"/>
        <v>-171475.45168973331</v>
      </c>
      <c r="S53" s="276">
        <v>46630</v>
      </c>
      <c r="T53" s="97">
        <f t="shared" si="5"/>
        <v>6</v>
      </c>
      <c r="U53" s="94">
        <f t="shared" si="6"/>
        <v>10560.977245098084</v>
      </c>
      <c r="V53" s="94">
        <f t="shared" si="7"/>
        <v>-21970.938415509041</v>
      </c>
      <c r="W53" s="94">
        <f t="shared" si="8"/>
        <v>-11409.961170410957</v>
      </c>
    </row>
    <row r="54" spans="1:23" x14ac:dyDescent="0.25">
      <c r="A54" s="239">
        <f t="shared" si="0"/>
        <v>27867715.36267915</v>
      </c>
      <c r="B54" s="105"/>
      <c r="C54" s="86">
        <v>46657</v>
      </c>
      <c r="D54" s="97">
        <f t="shared" si="9"/>
        <v>32</v>
      </c>
      <c r="E54" s="91">
        <f t="shared" si="10"/>
        <v>27867715</v>
      </c>
      <c r="F54" s="89">
        <f t="shared" si="12"/>
        <v>-171474.98780092856</v>
      </c>
      <c r="H54" s="98"/>
      <c r="I54" s="91">
        <f t="shared" si="1"/>
        <v>27867715</v>
      </c>
      <c r="J54" s="99">
        <f t="shared" si="2"/>
        <v>-60334</v>
      </c>
      <c r="K54" s="100">
        <f t="shared" si="3"/>
        <v>-56204.272778546852</v>
      </c>
      <c r="L54" s="101"/>
      <c r="M54" s="94">
        <f t="shared" si="11"/>
        <v>56204.272778546845</v>
      </c>
      <c r="N54" s="94">
        <f t="shared" si="13"/>
        <v>-111141.30013169166</v>
      </c>
      <c r="O54" s="99">
        <f t="shared" si="4"/>
        <v>-54937.027353144818</v>
      </c>
      <c r="P54" s="101"/>
      <c r="Q54" s="95">
        <f t="shared" si="14"/>
        <v>-171475.30013169168</v>
      </c>
      <c r="S54" s="276">
        <v>46660</v>
      </c>
      <c r="T54" s="97">
        <f t="shared" si="5"/>
        <v>4</v>
      </c>
      <c r="U54" s="94">
        <f t="shared" si="6"/>
        <v>7025.5340973183556</v>
      </c>
      <c r="V54" s="94">
        <f t="shared" si="7"/>
        <v>-14615.842209099177</v>
      </c>
      <c r="W54" s="94">
        <f t="shared" si="8"/>
        <v>-7590.3081117808215</v>
      </c>
    </row>
    <row r="55" spans="1:23" x14ac:dyDescent="0.25">
      <c r="A55" s="239">
        <f t="shared" si="0"/>
        <v>27807141.57378073</v>
      </c>
      <c r="B55" s="105"/>
      <c r="C55" s="86">
        <v>46686</v>
      </c>
      <c r="D55" s="97">
        <f t="shared" si="9"/>
        <v>29</v>
      </c>
      <c r="E55" s="91">
        <f t="shared" si="10"/>
        <v>27807142</v>
      </c>
      <c r="F55" s="89">
        <f t="shared" si="12"/>
        <v>-171474.98780092856</v>
      </c>
      <c r="H55" s="98"/>
      <c r="I55" s="91">
        <f t="shared" si="1"/>
        <v>27807142</v>
      </c>
      <c r="J55" s="99">
        <f t="shared" si="2"/>
        <v>-60573</v>
      </c>
      <c r="K55" s="100">
        <f t="shared" si="3"/>
        <v>-50825.08517206712</v>
      </c>
      <c r="L55" s="101"/>
      <c r="M55" s="94">
        <f t="shared" si="11"/>
        <v>50825.085172067127</v>
      </c>
      <c r="N55" s="94">
        <f t="shared" si="13"/>
        <v>-110901.19745920833</v>
      </c>
      <c r="O55" s="99">
        <f t="shared" si="4"/>
        <v>-60076.112287141201</v>
      </c>
      <c r="P55" s="101"/>
      <c r="Q55" s="95">
        <f t="shared" si="14"/>
        <v>-171474.19745920831</v>
      </c>
      <c r="S55" s="276">
        <v>46691</v>
      </c>
      <c r="T55" s="97">
        <f t="shared" si="5"/>
        <v>6</v>
      </c>
      <c r="U55" s="94">
        <f t="shared" si="6"/>
        <v>10515.534863186303</v>
      </c>
      <c r="V55" s="94">
        <f t="shared" si="7"/>
        <v>-21876.40059469315</v>
      </c>
      <c r="W55" s="94">
        <f t="shared" si="8"/>
        <v>-11360.865731506847</v>
      </c>
    </row>
    <row r="56" spans="1:23" x14ac:dyDescent="0.25">
      <c r="A56" s="239">
        <f t="shared" si="0"/>
        <v>27746326.727955919</v>
      </c>
      <c r="B56" s="105"/>
      <c r="C56" s="86">
        <v>46717</v>
      </c>
      <c r="D56" s="97">
        <f t="shared" si="9"/>
        <v>31</v>
      </c>
      <c r="E56" s="91">
        <f t="shared" si="10"/>
        <v>27746327</v>
      </c>
      <c r="F56" s="89">
        <f t="shared" si="12"/>
        <v>-171474.98780092856</v>
      </c>
      <c r="H56" s="98"/>
      <c r="I56" s="91">
        <f t="shared" si="1"/>
        <v>27746327</v>
      </c>
      <c r="J56" s="99">
        <f t="shared" si="2"/>
        <v>-60815</v>
      </c>
      <c r="K56" s="100">
        <f t="shared" si="3"/>
        <v>-54212.171716409321</v>
      </c>
      <c r="L56" s="101"/>
      <c r="M56" s="94">
        <f t="shared" si="11"/>
        <v>54212.171716409321</v>
      </c>
      <c r="N56" s="94">
        <f t="shared" si="13"/>
        <v>-110660.14367228333</v>
      </c>
      <c r="O56" s="99">
        <f t="shared" si="4"/>
        <v>-56447.971955874011</v>
      </c>
      <c r="P56" s="101"/>
      <c r="Q56" s="95">
        <f t="shared" si="14"/>
        <v>-171475.14367228333</v>
      </c>
      <c r="S56" s="276">
        <v>46721</v>
      </c>
      <c r="T56" s="97">
        <f t="shared" si="5"/>
        <v>5</v>
      </c>
      <c r="U56" s="94">
        <f t="shared" si="6"/>
        <v>8743.8986639369868</v>
      </c>
      <c r="V56" s="94">
        <f t="shared" si="7"/>
        <v>-18190.70854886849</v>
      </c>
      <c r="W56" s="94">
        <f t="shared" si="8"/>
        <v>-9446.8098849315029</v>
      </c>
    </row>
    <row r="57" spans="1:23" x14ac:dyDescent="0.25">
      <c r="A57" s="239">
        <f t="shared" si="0"/>
        <v>27685269.865904614</v>
      </c>
      <c r="B57" s="105"/>
      <c r="C57" s="86">
        <v>46750</v>
      </c>
      <c r="D57" s="97">
        <f t="shared" si="9"/>
        <v>33</v>
      </c>
      <c r="E57" s="91">
        <f t="shared" si="10"/>
        <v>27685270</v>
      </c>
      <c r="F57" s="89">
        <f t="shared" si="12"/>
        <v>-171474.98780092856</v>
      </c>
      <c r="H57" s="98"/>
      <c r="I57" s="91">
        <f t="shared" si="1"/>
        <v>27685270</v>
      </c>
      <c r="J57" s="99">
        <f t="shared" si="2"/>
        <v>-61057</v>
      </c>
      <c r="K57" s="100">
        <f t="shared" si="3"/>
        <v>-57583.51838018548</v>
      </c>
      <c r="L57" s="101"/>
      <c r="M57" s="94">
        <f t="shared" si="11"/>
        <v>57583.51838018548</v>
      </c>
      <c r="N57" s="94">
        <f t="shared" si="13"/>
        <v>-110418.12683224166</v>
      </c>
      <c r="O57" s="99">
        <f t="shared" si="4"/>
        <v>-52834.608452056178</v>
      </c>
      <c r="P57" s="101"/>
      <c r="Q57" s="95">
        <f t="shared" si="14"/>
        <v>-171475.12683224166</v>
      </c>
      <c r="S57" s="276">
        <v>46752</v>
      </c>
      <c r="T57" s="97">
        <f t="shared" si="5"/>
        <v>3</v>
      </c>
      <c r="U57" s="94">
        <f t="shared" si="6"/>
        <v>5234.8653072895904</v>
      </c>
      <c r="V57" s="94">
        <f t="shared" si="7"/>
        <v>-10890.554975234794</v>
      </c>
      <c r="W57" s="94">
        <f t="shared" si="8"/>
        <v>-5655.6896679452038</v>
      </c>
    </row>
    <row r="58" spans="1:23" x14ac:dyDescent="0.25">
      <c r="A58" s="239">
        <f t="shared" si="0"/>
        <v>27623970.024509128</v>
      </c>
      <c r="B58" s="105"/>
      <c r="C58" s="86">
        <v>46778</v>
      </c>
      <c r="D58" s="97">
        <f t="shared" si="9"/>
        <v>28</v>
      </c>
      <c r="E58" s="91">
        <f t="shared" si="10"/>
        <v>27623970</v>
      </c>
      <c r="F58" s="89">
        <f t="shared" si="12"/>
        <v>-171474.98780092856</v>
      </c>
      <c r="H58" s="98"/>
      <c r="I58" s="91">
        <f t="shared" si="1"/>
        <v>27623970</v>
      </c>
      <c r="J58" s="99">
        <f t="shared" si="2"/>
        <v>-61300</v>
      </c>
      <c r="K58" s="100">
        <f t="shared" si="3"/>
        <v>-48751.227078169861</v>
      </c>
      <c r="L58" s="101"/>
      <c r="M58" s="94">
        <f t="shared" si="11"/>
        <v>48751.227078169868</v>
      </c>
      <c r="N58" s="94">
        <f t="shared" si="13"/>
        <v>-110175.14693908334</v>
      </c>
      <c r="O58" s="99">
        <f t="shared" si="4"/>
        <v>-61423.919860913469</v>
      </c>
      <c r="P58" s="101"/>
      <c r="Q58" s="95">
        <f t="shared" si="14"/>
        <v>-171475.14693908332</v>
      </c>
      <c r="S58" s="276">
        <v>46783</v>
      </c>
      <c r="T58" s="97">
        <f t="shared" si="5"/>
        <v>6</v>
      </c>
      <c r="U58" s="94">
        <f t="shared" si="6"/>
        <v>10446.691516750687</v>
      </c>
      <c r="V58" s="94">
        <f t="shared" si="7"/>
        <v>-21733.179670175341</v>
      </c>
      <c r="W58" s="94">
        <f t="shared" si="8"/>
        <v>-11286.488153424654</v>
      </c>
    </row>
    <row r="59" spans="1:23" x14ac:dyDescent="0.25">
      <c r="A59" s="239">
        <f t="shared" si="0"/>
        <v>27562426.236818984</v>
      </c>
      <c r="B59" s="105"/>
      <c r="C59" s="86">
        <v>46811</v>
      </c>
      <c r="D59" s="97">
        <f t="shared" si="9"/>
        <v>33</v>
      </c>
      <c r="E59" s="91">
        <f t="shared" si="10"/>
        <v>27562426</v>
      </c>
      <c r="F59" s="89">
        <f t="shared" si="12"/>
        <v>-171474.98780092856</v>
      </c>
      <c r="H59" s="98"/>
      <c r="I59" s="91">
        <f t="shared" si="1"/>
        <v>27562426</v>
      </c>
      <c r="J59" s="99">
        <f t="shared" si="2"/>
        <v>-61544</v>
      </c>
      <c r="K59" s="100">
        <f t="shared" si="3"/>
        <v>-57329.583992457541</v>
      </c>
      <c r="L59" s="101"/>
      <c r="M59" s="94">
        <f t="shared" si="11"/>
        <v>57329.583992457534</v>
      </c>
      <c r="N59" s="94">
        <f t="shared" si="13"/>
        <v>-109931.20001325</v>
      </c>
      <c r="O59" s="99">
        <f t="shared" si="4"/>
        <v>-52601.616020792462</v>
      </c>
      <c r="P59" s="101"/>
      <c r="Q59" s="95">
        <f t="shared" si="14"/>
        <v>-171475.20001325</v>
      </c>
      <c r="S59" s="276">
        <v>46812</v>
      </c>
      <c r="T59" s="97">
        <f t="shared" si="5"/>
        <v>2</v>
      </c>
      <c r="U59" s="94">
        <f t="shared" si="6"/>
        <v>3474.5202419671232</v>
      </c>
      <c r="V59" s="94">
        <f t="shared" si="7"/>
        <v>-7228.3528775835612</v>
      </c>
      <c r="W59" s="94">
        <f t="shared" si="8"/>
        <v>-3753.832635616438</v>
      </c>
    </row>
    <row r="60" spans="1:23" x14ac:dyDescent="0.25">
      <c r="A60" s="239">
        <f t="shared" si="0"/>
        <v>27500637.532035671</v>
      </c>
      <c r="B60" s="105"/>
      <c r="C60" s="86">
        <v>46839</v>
      </c>
      <c r="D60" s="97">
        <f t="shared" si="9"/>
        <v>28</v>
      </c>
      <c r="E60" s="91">
        <f t="shared" si="10"/>
        <v>27500638</v>
      </c>
      <c r="F60" s="89">
        <f t="shared" si="12"/>
        <v>-171474.98780092856</v>
      </c>
      <c r="H60" s="98"/>
      <c r="I60" s="91">
        <f t="shared" si="1"/>
        <v>27500638</v>
      </c>
      <c r="J60" s="99">
        <f t="shared" si="2"/>
        <v>-61788</v>
      </c>
      <c r="K60" s="100">
        <f t="shared" si="3"/>
        <v>-48534.910035237262</v>
      </c>
      <c r="L60" s="101"/>
      <c r="M60" s="94">
        <f t="shared" si="11"/>
        <v>48534.910035237262</v>
      </c>
      <c r="N60" s="94">
        <f t="shared" si="13"/>
        <v>-109686.28207518334</v>
      </c>
      <c r="O60" s="99">
        <f t="shared" si="4"/>
        <v>-61151.372039946073</v>
      </c>
      <c r="P60" s="101"/>
      <c r="Q60" s="95">
        <f t="shared" si="14"/>
        <v>-171474.28207518335</v>
      </c>
      <c r="S60" s="276">
        <v>46843</v>
      </c>
      <c r="T60" s="97">
        <f t="shared" si="5"/>
        <v>5</v>
      </c>
      <c r="U60" s="94">
        <f t="shared" si="6"/>
        <v>8666.9482205780823</v>
      </c>
      <c r="V60" s="94">
        <f t="shared" si="7"/>
        <v>-18030.621710989039</v>
      </c>
      <c r="W60" s="94">
        <f t="shared" si="8"/>
        <v>-9363.6734904109562</v>
      </c>
    </row>
    <row r="61" spans="1:23" x14ac:dyDescent="0.25">
      <c r="A61" s="239">
        <f t="shared" si="0"/>
        <v>27438602.935497332</v>
      </c>
      <c r="B61" s="105"/>
      <c r="C61" s="86">
        <v>46869</v>
      </c>
      <c r="D61" s="97">
        <f t="shared" si="9"/>
        <v>30</v>
      </c>
      <c r="E61" s="91">
        <f t="shared" si="10"/>
        <v>27438603</v>
      </c>
      <c r="F61" s="89">
        <f t="shared" si="12"/>
        <v>-171474.98780092856</v>
      </c>
      <c r="H61" s="98"/>
      <c r="I61" s="91">
        <f t="shared" si="1"/>
        <v>27438603</v>
      </c>
      <c r="J61" s="99">
        <f t="shared" si="2"/>
        <v>-62035</v>
      </c>
      <c r="K61" s="100">
        <f t="shared" si="3"/>
        <v>-51885.114665638357</v>
      </c>
      <c r="L61" s="101"/>
      <c r="M61" s="94">
        <f t="shared" si="11"/>
        <v>51885.114665638364</v>
      </c>
      <c r="N61" s="94">
        <f t="shared" si="13"/>
        <v>-109440.39312488334</v>
      </c>
      <c r="O61" s="99">
        <f t="shared" si="4"/>
        <v>-57555.278459244975</v>
      </c>
      <c r="P61" s="101"/>
      <c r="Q61" s="95">
        <f t="shared" si="14"/>
        <v>-171475.39312488335</v>
      </c>
      <c r="S61" s="276">
        <v>46873</v>
      </c>
      <c r="T61" s="97">
        <f t="shared" si="5"/>
        <v>5</v>
      </c>
      <c r="U61" s="94">
        <f t="shared" si="6"/>
        <v>8647.5191109397256</v>
      </c>
      <c r="V61" s="94">
        <f t="shared" si="7"/>
        <v>-17990.20160956986</v>
      </c>
      <c r="W61" s="94">
        <f t="shared" si="8"/>
        <v>-9342.6824986301344</v>
      </c>
    </row>
    <row r="62" spans="1:23" x14ac:dyDescent="0.25">
      <c r="A62" s="239">
        <f t="shared" si="0"/>
        <v>27376321.468663387</v>
      </c>
      <c r="B62" s="105"/>
      <c r="C62" s="86">
        <v>46899</v>
      </c>
      <c r="D62" s="97">
        <f t="shared" si="9"/>
        <v>30</v>
      </c>
      <c r="E62" s="91">
        <f t="shared" si="10"/>
        <v>27376321</v>
      </c>
      <c r="F62" s="89">
        <f t="shared" si="12"/>
        <v>-171474.98780092856</v>
      </c>
      <c r="H62" s="98"/>
      <c r="I62" s="91">
        <f t="shared" si="1"/>
        <v>27376321</v>
      </c>
      <c r="J62" s="99">
        <f t="shared" si="2"/>
        <v>-62282</v>
      </c>
      <c r="K62" s="100">
        <f t="shared" si="3"/>
        <v>-51768.073995953433</v>
      </c>
      <c r="L62" s="101"/>
      <c r="M62" s="94">
        <f t="shared" si="11"/>
        <v>51768.073995953433</v>
      </c>
      <c r="N62" s="94">
        <f t="shared" si="13"/>
        <v>-109193.52122367499</v>
      </c>
      <c r="O62" s="99">
        <f t="shared" si="4"/>
        <v>-57425.447227721561</v>
      </c>
      <c r="P62" s="101"/>
      <c r="Q62" s="95">
        <f t="shared" si="14"/>
        <v>-171475.52122367499</v>
      </c>
      <c r="S62" s="276">
        <v>46904</v>
      </c>
      <c r="T62" s="97">
        <f t="shared" si="5"/>
        <v>6</v>
      </c>
      <c r="U62" s="94">
        <f t="shared" si="6"/>
        <v>10353.614799190687</v>
      </c>
      <c r="V62" s="94">
        <f t="shared" si="7"/>
        <v>-21539.543912615343</v>
      </c>
      <c r="W62" s="94">
        <f t="shared" si="8"/>
        <v>-11185.929113424656</v>
      </c>
    </row>
    <row r="63" spans="1:23" x14ac:dyDescent="0.25">
      <c r="A63" s="239">
        <f t="shared" si="0"/>
        <v>27313792.149099089</v>
      </c>
      <c r="B63" s="106"/>
      <c r="C63" s="86">
        <v>46931</v>
      </c>
      <c r="D63" s="97">
        <f t="shared" si="9"/>
        <v>32</v>
      </c>
      <c r="E63" s="91">
        <f t="shared" si="10"/>
        <v>27313792</v>
      </c>
      <c r="F63" s="89">
        <f t="shared" si="12"/>
        <v>-171474.98780092856</v>
      </c>
      <c r="H63" s="98"/>
      <c r="I63" s="91">
        <f t="shared" si="1"/>
        <v>27313792</v>
      </c>
      <c r="J63" s="99">
        <f t="shared" si="2"/>
        <v>-62529</v>
      </c>
      <c r="K63" s="100">
        <f t="shared" si="3"/>
        <v>-55093.938468707944</v>
      </c>
      <c r="L63" s="101"/>
      <c r="M63" s="94">
        <f t="shared" si="11"/>
        <v>55093.938468707944</v>
      </c>
      <c r="N63" s="94">
        <f t="shared" si="13"/>
        <v>-108945.66637155833</v>
      </c>
      <c r="O63" s="99">
        <f t="shared" si="4"/>
        <v>-53851.727902850384</v>
      </c>
      <c r="P63" s="101"/>
      <c r="Q63" s="95">
        <f t="shared" si="14"/>
        <v>-171474.66637155833</v>
      </c>
      <c r="S63" s="276">
        <v>46934</v>
      </c>
      <c r="T63" s="97">
        <f t="shared" si="5"/>
        <v>4</v>
      </c>
      <c r="U63" s="94">
        <f t="shared" si="6"/>
        <v>6886.742308588493</v>
      </c>
      <c r="V63" s="94">
        <f t="shared" si="7"/>
        <v>-14327.101331054246</v>
      </c>
      <c r="W63" s="94">
        <f t="shared" si="8"/>
        <v>-7440.3590224657528</v>
      </c>
    </row>
    <row r="64" spans="1:23" x14ac:dyDescent="0.25">
      <c r="A64" s="239">
        <f t="shared" si="0"/>
        <v>27251013.990460042</v>
      </c>
      <c r="B64" s="106"/>
      <c r="C64" s="86">
        <v>46960</v>
      </c>
      <c r="D64" s="97">
        <f t="shared" si="9"/>
        <v>29</v>
      </c>
      <c r="E64" s="91">
        <f t="shared" si="10"/>
        <v>27251014</v>
      </c>
      <c r="F64" s="89">
        <f t="shared" si="12"/>
        <v>-171474.98780092856</v>
      </c>
      <c r="H64" s="98"/>
      <c r="I64" s="91">
        <f t="shared" si="1"/>
        <v>27251014</v>
      </c>
      <c r="J64" s="99">
        <f t="shared" si="2"/>
        <v>-62778</v>
      </c>
      <c r="K64" s="100">
        <f t="shared" si="3"/>
        <v>-49814.841466985206</v>
      </c>
      <c r="L64" s="101"/>
      <c r="M64" s="94">
        <f t="shared" si="11"/>
        <v>49814.841466985206</v>
      </c>
      <c r="N64" s="94">
        <f t="shared" si="13"/>
        <v>-108696.82856853334</v>
      </c>
      <c r="O64" s="99">
        <f t="shared" si="4"/>
        <v>-58881.987101548133</v>
      </c>
      <c r="P64" s="101"/>
      <c r="Q64" s="95">
        <f t="shared" si="14"/>
        <v>-171474.82856853335</v>
      </c>
      <c r="S64" s="276">
        <v>46965</v>
      </c>
      <c r="T64" s="97">
        <f t="shared" si="5"/>
        <v>6</v>
      </c>
      <c r="U64" s="94">
        <f t="shared" si="6"/>
        <v>10306.518924203838</v>
      </c>
      <c r="V64" s="94">
        <f t="shared" si="7"/>
        <v>-21441.566183381918</v>
      </c>
      <c r="W64" s="94">
        <f t="shared" si="8"/>
        <v>-11135.04725917808</v>
      </c>
    </row>
    <row r="65" spans="1:23" x14ac:dyDescent="0.25">
      <c r="A65" s="239">
        <f t="shared" si="0"/>
        <v>27187986.002476629</v>
      </c>
      <c r="B65" s="106"/>
      <c r="C65" s="86">
        <v>46993</v>
      </c>
      <c r="D65" s="97">
        <f t="shared" si="9"/>
        <v>33</v>
      </c>
      <c r="E65" s="91">
        <f t="shared" si="10"/>
        <v>27187986</v>
      </c>
      <c r="F65" s="89">
        <f t="shared" si="12"/>
        <v>-171474.98780092856</v>
      </c>
      <c r="H65" s="98"/>
      <c r="I65" s="91">
        <f t="shared" si="1"/>
        <v>27187986</v>
      </c>
      <c r="J65" s="99">
        <f t="shared" si="2"/>
        <v>-63028</v>
      </c>
      <c r="K65" s="100">
        <f t="shared" si="3"/>
        <v>-56555.567356633976</v>
      </c>
      <c r="L65" s="101"/>
      <c r="M65" s="94">
        <f t="shared" si="11"/>
        <v>56555.567356633968</v>
      </c>
      <c r="N65" s="94">
        <f t="shared" si="13"/>
        <v>-108446.99985548331</v>
      </c>
      <c r="O65" s="99">
        <f t="shared" si="4"/>
        <v>-51891.432498849346</v>
      </c>
      <c r="P65" s="101"/>
      <c r="Q65" s="95">
        <f t="shared" si="14"/>
        <v>-171474.99985548333</v>
      </c>
      <c r="S65" s="276">
        <v>46996</v>
      </c>
      <c r="T65" s="97">
        <f t="shared" si="5"/>
        <v>4</v>
      </c>
      <c r="U65" s="94">
        <f t="shared" si="6"/>
        <v>6855.2202856526028</v>
      </c>
      <c r="V65" s="94">
        <f t="shared" si="7"/>
        <v>-14261.5232686663</v>
      </c>
      <c r="W65" s="94">
        <f t="shared" si="8"/>
        <v>-7406.3029830136975</v>
      </c>
    </row>
    <row r="66" spans="1:23" x14ac:dyDescent="0.25">
      <c r="A66" s="239">
        <f t="shared" si="0"/>
        <v>27124707.190938406</v>
      </c>
      <c r="B66" s="106"/>
      <c r="C66" s="86">
        <v>47022</v>
      </c>
      <c r="D66" s="97">
        <f t="shared" si="9"/>
        <v>29</v>
      </c>
      <c r="E66" s="91">
        <f t="shared" si="10"/>
        <v>27124707</v>
      </c>
      <c r="F66" s="89">
        <f t="shared" si="12"/>
        <v>-171474.98780092856</v>
      </c>
      <c r="H66" s="98"/>
      <c r="I66" s="91">
        <f t="shared" si="1"/>
        <v>27124707</v>
      </c>
      <c r="J66" s="99">
        <f t="shared" si="2"/>
        <v>-63279</v>
      </c>
      <c r="K66" s="100">
        <f t="shared" si="3"/>
        <v>-49585.396725456987</v>
      </c>
      <c r="L66" s="101"/>
      <c r="M66" s="94">
        <f t="shared" si="11"/>
        <v>49585.396725456987</v>
      </c>
      <c r="N66" s="94">
        <f t="shared" si="13"/>
        <v>-108196.17625285</v>
      </c>
      <c r="O66" s="99">
        <f t="shared" si="4"/>
        <v>-58610.77952739301</v>
      </c>
      <c r="P66" s="101"/>
      <c r="Q66" s="95">
        <f t="shared" si="14"/>
        <v>-171475.17625284998</v>
      </c>
      <c r="S66" s="276">
        <v>47026</v>
      </c>
      <c r="T66" s="97">
        <f t="shared" si="5"/>
        <v>5</v>
      </c>
      <c r="U66" s="94">
        <f t="shared" si="6"/>
        <v>8549.2063319753433</v>
      </c>
      <c r="V66" s="94">
        <f t="shared" si="7"/>
        <v>-17785.672808687668</v>
      </c>
      <c r="W66" s="94">
        <f t="shared" si="8"/>
        <v>-9236.4664767123249</v>
      </c>
    </row>
    <row r="67" spans="1:23" x14ac:dyDescent="0.25">
      <c r="A67" s="239">
        <f t="shared" si="0"/>
        <v>27061176.557678401</v>
      </c>
      <c r="B67" s="106"/>
      <c r="C67" s="86">
        <v>47052</v>
      </c>
      <c r="D67" s="97">
        <f t="shared" si="9"/>
        <v>30</v>
      </c>
      <c r="E67" s="91">
        <f t="shared" si="10"/>
        <v>27061177</v>
      </c>
      <c r="F67" s="89">
        <f t="shared" si="12"/>
        <v>-171474.98780092856</v>
      </c>
      <c r="H67" s="98"/>
      <c r="I67" s="91">
        <f t="shared" si="1"/>
        <v>27061177</v>
      </c>
      <c r="J67" s="99">
        <f t="shared" si="2"/>
        <v>-63530</v>
      </c>
      <c r="K67" s="100">
        <f t="shared" si="3"/>
        <v>-51175.850282704108</v>
      </c>
      <c r="L67" s="101"/>
      <c r="M67" s="94">
        <f t="shared" si="11"/>
        <v>51175.850282704116</v>
      </c>
      <c r="N67" s="94">
        <f t="shared" si="13"/>
        <v>-107944.35378107498</v>
      </c>
      <c r="O67" s="99">
        <f t="shared" si="4"/>
        <v>-56768.503498370868</v>
      </c>
      <c r="P67" s="101"/>
      <c r="Q67" s="95">
        <f t="shared" si="14"/>
        <v>-171474.35378107498</v>
      </c>
      <c r="S67" s="276">
        <v>47057</v>
      </c>
      <c r="T67" s="97">
        <f t="shared" si="5"/>
        <v>6</v>
      </c>
      <c r="U67" s="94">
        <f t="shared" si="6"/>
        <v>10235.170056540825</v>
      </c>
      <c r="V67" s="94">
        <f t="shared" si="7"/>
        <v>-21293.132800650412</v>
      </c>
      <c r="W67" s="94">
        <f t="shared" si="8"/>
        <v>-11057.962744109587</v>
      </c>
    </row>
    <row r="68" spans="1:23" x14ac:dyDescent="0.25">
      <c r="A68" s="239">
        <f t="shared" si="0"/>
        <v>26997393.100557387</v>
      </c>
      <c r="B68" s="106"/>
      <c r="C68" s="86">
        <v>47084</v>
      </c>
      <c r="D68" s="97">
        <f t="shared" si="9"/>
        <v>32</v>
      </c>
      <c r="E68" s="91">
        <f t="shared" si="10"/>
        <v>26997393</v>
      </c>
      <c r="F68" s="89">
        <f t="shared" si="12"/>
        <v>-171474.98780092856</v>
      </c>
      <c r="H68" s="98"/>
      <c r="I68" s="91">
        <f t="shared" si="1"/>
        <v>26997393</v>
      </c>
      <c r="J68" s="99">
        <f t="shared" si="2"/>
        <v>-63784</v>
      </c>
      <c r="K68" s="100">
        <f t="shared" si="3"/>
        <v>-54459.721615947405</v>
      </c>
      <c r="L68" s="101"/>
      <c r="M68" s="94">
        <f t="shared" si="11"/>
        <v>54459.721615947397</v>
      </c>
      <c r="N68" s="94">
        <f t="shared" si="13"/>
        <v>-107691.53244015832</v>
      </c>
      <c r="O68" s="99">
        <f t="shared" si="4"/>
        <v>-53231.810824210923</v>
      </c>
      <c r="P68" s="101"/>
      <c r="Q68" s="95">
        <f t="shared" si="14"/>
        <v>-171475.53244015833</v>
      </c>
      <c r="S68" s="276">
        <v>47087</v>
      </c>
      <c r="T68" s="97">
        <f t="shared" si="5"/>
        <v>4</v>
      </c>
      <c r="U68" s="94">
        <f t="shared" si="6"/>
        <v>6807.4652019934247</v>
      </c>
      <c r="V68" s="94">
        <f t="shared" si="7"/>
        <v>-14162.174129116711</v>
      </c>
      <c r="W68" s="94">
        <f t="shared" si="8"/>
        <v>-7354.7089271232862</v>
      </c>
    </row>
    <row r="69" spans="1:23" x14ac:dyDescent="0.25">
      <c r="A69" s="239">
        <f t="shared" si="0"/>
        <v>26933355.813448057</v>
      </c>
      <c r="B69" s="106"/>
      <c r="C69" s="86">
        <v>47114</v>
      </c>
      <c r="D69" s="97">
        <f t="shared" si="9"/>
        <v>30</v>
      </c>
      <c r="E69" s="91">
        <f t="shared" si="10"/>
        <v>26933356</v>
      </c>
      <c r="F69" s="89">
        <f t="shared" si="12"/>
        <v>-171474.98780092856</v>
      </c>
      <c r="H69" s="98"/>
      <c r="I69" s="91">
        <f t="shared" si="1"/>
        <v>26933356</v>
      </c>
      <c r="J69" s="99">
        <f t="shared" si="2"/>
        <v>-64037</v>
      </c>
      <c r="K69" s="100">
        <f t="shared" si="3"/>
        <v>-50935.648528528778</v>
      </c>
      <c r="L69" s="101"/>
      <c r="M69" s="94">
        <f t="shared" si="11"/>
        <v>50935.648528528771</v>
      </c>
      <c r="N69" s="94">
        <f t="shared" si="13"/>
        <v>-107437.70029142499</v>
      </c>
      <c r="O69" s="99">
        <f t="shared" si="4"/>
        <v>-56502.051762896219</v>
      </c>
      <c r="P69" s="101"/>
      <c r="Q69" s="95">
        <f t="shared" si="14"/>
        <v>-171474.70029142499</v>
      </c>
      <c r="S69" s="276">
        <v>47118</v>
      </c>
      <c r="T69" s="97">
        <f t="shared" si="5"/>
        <v>5</v>
      </c>
      <c r="U69" s="94">
        <f t="shared" si="6"/>
        <v>8489.2747547547951</v>
      </c>
      <c r="V69" s="94">
        <f t="shared" si="7"/>
        <v>-17660.991828727394</v>
      </c>
      <c r="W69" s="94">
        <f t="shared" si="8"/>
        <v>-9171.7170739725989</v>
      </c>
    </row>
    <row r="70" spans="1:23" x14ac:dyDescent="0.25">
      <c r="A70" s="239">
        <f t="shared" si="0"/>
        <v>26869063.686219167</v>
      </c>
      <c r="B70" s="106"/>
      <c r="C70" s="86">
        <v>47144</v>
      </c>
      <c r="D70" s="97">
        <f t="shared" si="9"/>
        <v>30</v>
      </c>
      <c r="E70" s="91">
        <f t="shared" si="10"/>
        <v>26869064</v>
      </c>
      <c r="F70" s="89">
        <f t="shared" si="12"/>
        <v>-171474.98780092856</v>
      </c>
      <c r="H70" s="98"/>
      <c r="I70" s="91">
        <f t="shared" si="1"/>
        <v>26869064</v>
      </c>
      <c r="J70" s="99">
        <f t="shared" si="2"/>
        <v>-64292</v>
      </c>
      <c r="K70" s="100">
        <f t="shared" si="3"/>
        <v>-50814.830710126029</v>
      </c>
      <c r="L70" s="101"/>
      <c r="M70" s="94">
        <f t="shared" si="11"/>
        <v>50814.830710126036</v>
      </c>
      <c r="N70" s="94">
        <f t="shared" si="13"/>
        <v>-107182.86131443334</v>
      </c>
      <c r="O70" s="99">
        <f t="shared" si="4"/>
        <v>-56368.0306043073</v>
      </c>
      <c r="P70" s="101"/>
      <c r="Q70" s="95">
        <f t="shared" si="14"/>
        <v>-171474.86131443334</v>
      </c>
      <c r="S70" s="276">
        <v>47149</v>
      </c>
      <c r="T70" s="97">
        <f t="shared" si="5"/>
        <v>6</v>
      </c>
      <c r="U70" s="94">
        <f t="shared" si="6"/>
        <v>10162.966142025207</v>
      </c>
      <c r="V70" s="94">
        <f t="shared" si="7"/>
        <v>-21142.920588052602</v>
      </c>
      <c r="W70" s="94">
        <f t="shared" si="8"/>
        <v>-10979.954446027396</v>
      </c>
    </row>
    <row r="71" spans="1:23" x14ac:dyDescent="0.25">
      <c r="A71" s="239">
        <f t="shared" si="0"/>
        <v>26804515.704719596</v>
      </c>
      <c r="B71" s="106"/>
      <c r="C71" s="86">
        <v>47175</v>
      </c>
      <c r="D71" s="97">
        <f t="shared" si="9"/>
        <v>31</v>
      </c>
      <c r="E71" s="91">
        <f t="shared" si="10"/>
        <v>26804516</v>
      </c>
      <c r="F71" s="89">
        <f t="shared" si="12"/>
        <v>-171474.98780092856</v>
      </c>
      <c r="H71" s="98"/>
      <c r="I71" s="91">
        <f t="shared" si="1"/>
        <v>26804516</v>
      </c>
      <c r="J71" s="99">
        <f t="shared" si="2"/>
        <v>-64548</v>
      </c>
      <c r="K71" s="100">
        <f t="shared" si="3"/>
        <v>-52383.316179246038</v>
      </c>
      <c r="L71" s="101"/>
      <c r="M71" s="94">
        <f t="shared" si="11"/>
        <v>52383.316179246031</v>
      </c>
      <c r="N71" s="94">
        <f t="shared" si="13"/>
        <v>-106927.00755006667</v>
      </c>
      <c r="O71" s="99">
        <f t="shared" si="4"/>
        <v>-54543.691370820641</v>
      </c>
      <c r="P71" s="101"/>
      <c r="Q71" s="95">
        <f t="shared" si="14"/>
        <v>-171475.00755006669</v>
      </c>
      <c r="S71" s="276">
        <v>47177</v>
      </c>
      <c r="T71" s="97">
        <f t="shared" si="5"/>
        <v>3</v>
      </c>
      <c r="U71" s="94">
        <f t="shared" si="6"/>
        <v>5069.353178636713</v>
      </c>
      <c r="V71" s="94">
        <f t="shared" si="7"/>
        <v>-10546.225402198355</v>
      </c>
      <c r="W71" s="94">
        <f t="shared" si="8"/>
        <v>-5476.8722235616424</v>
      </c>
    </row>
    <row r="72" spans="1:23" x14ac:dyDescent="0.25">
      <c r="A72" s="239">
        <f t="shared" si="0"/>
        <v>26739710.850762349</v>
      </c>
      <c r="B72" s="106"/>
      <c r="C72" s="86">
        <v>47203</v>
      </c>
      <c r="D72" s="97">
        <f t="shared" si="9"/>
        <v>28</v>
      </c>
      <c r="E72" s="91">
        <f t="shared" si="10"/>
        <v>26739711</v>
      </c>
      <c r="F72" s="89">
        <f t="shared" si="12"/>
        <v>-171474.98780092856</v>
      </c>
      <c r="H72" s="98"/>
      <c r="I72" s="91">
        <f t="shared" si="1"/>
        <v>26739711</v>
      </c>
      <c r="J72" s="99">
        <f t="shared" si="2"/>
        <v>-64805</v>
      </c>
      <c r="K72" s="100">
        <f t="shared" si="3"/>
        <v>-47200.29987919343</v>
      </c>
      <c r="L72" s="101"/>
      <c r="M72" s="94">
        <f t="shared" si="11"/>
        <v>47200.29987919343</v>
      </c>
      <c r="N72" s="94">
        <f t="shared" si="13"/>
        <v>-106670.13501876667</v>
      </c>
      <c r="O72" s="99">
        <f t="shared" si="4"/>
        <v>-59469.835139573239</v>
      </c>
      <c r="P72" s="101"/>
      <c r="Q72" s="95">
        <f t="shared" si="14"/>
        <v>-171475.13501876665</v>
      </c>
      <c r="S72" s="276">
        <v>47208</v>
      </c>
      <c r="T72" s="97">
        <f t="shared" si="5"/>
        <v>6</v>
      </c>
      <c r="U72" s="94">
        <f t="shared" si="6"/>
        <v>10114.349974112878</v>
      </c>
      <c r="V72" s="94">
        <f t="shared" si="7"/>
        <v>-21041.780058496439</v>
      </c>
      <c r="W72" s="94">
        <f t="shared" si="8"/>
        <v>-10927.430084383561</v>
      </c>
    </row>
    <row r="73" spans="1:23" x14ac:dyDescent="0.25">
      <c r="A73" s="239">
        <f t="shared" si="0"/>
        <v>26674648.102108493</v>
      </c>
      <c r="B73" s="106"/>
      <c r="C73" s="86">
        <v>47234</v>
      </c>
      <c r="D73" s="97">
        <f t="shared" si="9"/>
        <v>31</v>
      </c>
      <c r="E73" s="91">
        <f t="shared" si="10"/>
        <v>26674648</v>
      </c>
      <c r="F73" s="89">
        <f t="shared" si="12"/>
        <v>-171474.98780092856</v>
      </c>
      <c r="H73" s="98"/>
      <c r="I73" s="91">
        <f t="shared" si="1"/>
        <v>26674648</v>
      </c>
      <c r="J73" s="99">
        <f t="shared" si="2"/>
        <v>-65063</v>
      </c>
      <c r="K73" s="100">
        <f t="shared" si="3"/>
        <v>-52131.132511897806</v>
      </c>
      <c r="L73" s="101"/>
      <c r="M73" s="94">
        <f t="shared" si="11"/>
        <v>52131.132511897813</v>
      </c>
      <c r="N73" s="94">
        <f t="shared" si="13"/>
        <v>-106412.23974097498</v>
      </c>
      <c r="O73" s="99">
        <f t="shared" si="4"/>
        <v>-54281.10722907717</v>
      </c>
      <c r="P73" s="101"/>
      <c r="Q73" s="95">
        <f t="shared" si="14"/>
        <v>-171475.23974097497</v>
      </c>
      <c r="S73" s="276">
        <v>47238</v>
      </c>
      <c r="T73" s="97">
        <f t="shared" si="5"/>
        <v>5</v>
      </c>
      <c r="U73" s="94">
        <f t="shared" si="6"/>
        <v>8408.2471793383556</v>
      </c>
      <c r="V73" s="94">
        <f t="shared" si="7"/>
        <v>-17492.422971119177</v>
      </c>
      <c r="W73" s="94">
        <f t="shared" si="8"/>
        <v>-9084.1757917808209</v>
      </c>
    </row>
    <row r="74" spans="1:23" x14ac:dyDescent="0.25">
      <c r="A74" s="239">
        <f t="shared" si="0"/>
        <v>26609326.432451043</v>
      </c>
      <c r="B74" s="106"/>
      <c r="C74" s="86">
        <v>47266</v>
      </c>
      <c r="D74" s="97">
        <f t="shared" si="9"/>
        <v>32</v>
      </c>
      <c r="E74" s="91">
        <f t="shared" si="10"/>
        <v>26609326</v>
      </c>
      <c r="F74" s="89">
        <f t="shared" si="12"/>
        <v>-171474.98780092856</v>
      </c>
      <c r="H74" s="98"/>
      <c r="I74" s="91">
        <f t="shared" si="1"/>
        <v>26609326</v>
      </c>
      <c r="J74" s="99">
        <f t="shared" si="2"/>
        <v>-65322</v>
      </c>
      <c r="K74" s="100">
        <f t="shared" si="3"/>
        <v>-53681.844817148492</v>
      </c>
      <c r="L74" s="101"/>
      <c r="M74" s="94">
        <f t="shared" si="11"/>
        <v>53681.844817148492</v>
      </c>
      <c r="N74" s="94">
        <f t="shared" si="13"/>
        <v>-106153.31773713331</v>
      </c>
      <c r="O74" s="99">
        <f t="shared" si="4"/>
        <v>-52471.472919984823</v>
      </c>
      <c r="P74" s="101"/>
      <c r="Q74" s="95">
        <f t="shared" si="14"/>
        <v>-171475.3177371333</v>
      </c>
      <c r="S74" s="276">
        <v>47269</v>
      </c>
      <c r="T74" s="97">
        <f t="shared" si="5"/>
        <v>4</v>
      </c>
      <c r="U74" s="94">
        <f t="shared" si="6"/>
        <v>6710.2306021435616</v>
      </c>
      <c r="V74" s="94">
        <f t="shared" si="7"/>
        <v>-13959.888359951779</v>
      </c>
      <c r="W74" s="94">
        <f t="shared" si="8"/>
        <v>-7249.6577578082179</v>
      </c>
    </row>
    <row r="75" spans="1:23" x14ac:dyDescent="0.25">
      <c r="A75" s="239">
        <f>A74+(A74*$E$5/12)+F75</f>
        <v>26543744.811398759</v>
      </c>
      <c r="B75" s="106"/>
      <c r="C75" s="86">
        <v>47295</v>
      </c>
      <c r="D75" s="97">
        <f t="shared" si="9"/>
        <v>29</v>
      </c>
      <c r="E75" s="91">
        <f>ROUND(A75,0)</f>
        <v>26543745</v>
      </c>
      <c r="F75" s="89">
        <f t="shared" si="12"/>
        <v>-171474.98780092856</v>
      </c>
      <c r="H75" s="98"/>
      <c r="I75" s="91">
        <f t="shared" si="1"/>
        <v>26543745</v>
      </c>
      <c r="J75" s="99">
        <f t="shared" si="2"/>
        <v>-65581</v>
      </c>
      <c r="K75" s="100">
        <f t="shared" si="3"/>
        <v>-48530.037727215895</v>
      </c>
      <c r="L75" s="101"/>
      <c r="M75" s="94">
        <f t="shared" si="11"/>
        <v>48530.037727215895</v>
      </c>
      <c r="N75" s="94">
        <f t="shared" si="13"/>
        <v>-105893.36502768332</v>
      </c>
      <c r="O75" s="99">
        <f t="shared" si="4"/>
        <v>-57363.327300467427</v>
      </c>
      <c r="P75" s="101"/>
      <c r="Q75" s="95">
        <f t="shared" si="14"/>
        <v>-171474.36502768332</v>
      </c>
      <c r="S75" s="276">
        <v>47299</v>
      </c>
      <c r="T75" s="97">
        <f t="shared" si="5"/>
        <v>5</v>
      </c>
      <c r="U75" s="94">
        <f t="shared" si="6"/>
        <v>8367.2478840027397</v>
      </c>
      <c r="V75" s="94">
        <f t="shared" si="7"/>
        <v>-17407.128497701367</v>
      </c>
      <c r="W75" s="94">
        <f t="shared" si="8"/>
        <v>-9039.8806136986277</v>
      </c>
    </row>
    <row r="76" spans="1:23" x14ac:dyDescent="0.25">
      <c r="A76" s="239">
        <f t="shared" si="0"/>
        <v>-0.18935178965330124</v>
      </c>
      <c r="B76" s="106"/>
      <c r="C76" s="86">
        <v>47325</v>
      </c>
      <c r="D76" s="97">
        <f t="shared" si="9"/>
        <v>30</v>
      </c>
      <c r="E76" s="91">
        <v>0</v>
      </c>
      <c r="F76" s="89">
        <f>-E75+N76</f>
        <v>-26649377.381612625</v>
      </c>
      <c r="H76" s="98"/>
      <c r="I76" s="91">
        <f t="shared" si="1"/>
        <v>0</v>
      </c>
      <c r="J76" s="99">
        <f>-(E75-E76)</f>
        <v>-26543745</v>
      </c>
      <c r="K76" s="100">
        <f>-(E75*(H76+$E$4)*D76/365)</f>
        <v>-50079.756439849327</v>
      </c>
      <c r="L76" s="101"/>
      <c r="M76" s="94">
        <f t="shared" si="11"/>
        <v>50079.75643984932</v>
      </c>
      <c r="N76" s="94">
        <f t="shared" si="13"/>
        <v>-105632.38161262499</v>
      </c>
      <c r="O76" s="99">
        <f t="shared" si="4"/>
        <v>-55552.625172775668</v>
      </c>
      <c r="P76" s="101"/>
      <c r="Q76" s="95">
        <f t="shared" si="14"/>
        <v>-26649377.381612625</v>
      </c>
      <c r="S76" s="277">
        <v>47330</v>
      </c>
      <c r="T76" s="278">
        <f t="shared" si="5"/>
        <v>6</v>
      </c>
      <c r="U76" s="279">
        <f t="shared" si="6"/>
        <v>10015.951287969865</v>
      </c>
      <c r="V76" s="279">
        <f t="shared" si="7"/>
        <v>-20837.07253728493</v>
      </c>
      <c r="W76" s="279">
        <f t="shared" si="8"/>
        <v>-10821.121249315065</v>
      </c>
    </row>
    <row r="77" spans="1:23" x14ac:dyDescent="0.25">
      <c r="A77" s="239">
        <f>A76+(A76*$E$5/12)+F77</f>
        <v>-0.19010532614574763</v>
      </c>
      <c r="B77" s="106"/>
      <c r="I77" s="91">
        <v>26477902.199999999</v>
      </c>
      <c r="J77" s="99">
        <f>-I75+I77</f>
        <v>-65842.800000000745</v>
      </c>
      <c r="K77" s="100"/>
      <c r="S77" s="86"/>
    </row>
    <row r="78" spans="1:23" x14ac:dyDescent="0.25">
      <c r="A78" s="239">
        <f>A77+(A77*$E$5/12)+F78</f>
        <v>-0.190861861380622</v>
      </c>
      <c r="B78" s="106"/>
      <c r="I78" s="91">
        <v>26411797.57</v>
      </c>
      <c r="J78" s="99">
        <f>-I77+I78</f>
        <v>-66104.629999998957</v>
      </c>
      <c r="S78" s="86"/>
    </row>
    <row r="79" spans="1:23" x14ac:dyDescent="0.25">
      <c r="A79" s="239">
        <f t="shared" si="0"/>
        <v>-0.19162140729159477</v>
      </c>
      <c r="B79" s="106"/>
      <c r="I79" s="91">
        <v>26345429.870000001</v>
      </c>
      <c r="J79" s="99">
        <f t="shared" ref="J79:J136" si="15">-I78+I79</f>
        <v>-66367.699999999255</v>
      </c>
      <c r="S79" s="86"/>
    </row>
    <row r="80" spans="1:23" x14ac:dyDescent="0.25">
      <c r="A80" s="239">
        <f t="shared" si="0"/>
        <v>-0.19238397585982708</v>
      </c>
      <c r="B80" s="106"/>
      <c r="I80" s="91">
        <v>26278798.059999999</v>
      </c>
      <c r="J80" s="99">
        <f t="shared" si="15"/>
        <v>-66631.810000002384</v>
      </c>
      <c r="S80" s="86"/>
    </row>
    <row r="81" spans="1:19" x14ac:dyDescent="0.25">
      <c r="A81" s="239">
        <f t="shared" si="0"/>
        <v>-0.19314957911415986</v>
      </c>
      <c r="B81" s="106"/>
      <c r="I81" s="91">
        <v>26211901.079999998</v>
      </c>
      <c r="J81" s="99">
        <f t="shared" si="15"/>
        <v>-66896.980000000447</v>
      </c>
      <c r="S81" s="86"/>
    </row>
    <row r="82" spans="1:19" x14ac:dyDescent="0.25">
      <c r="A82" s="239">
        <f t="shared" ref="A82" si="16">A81+(A81*$E$5/12)+F82</f>
        <v>-0.19391822913130344</v>
      </c>
      <c r="B82" s="106"/>
      <c r="I82" s="91">
        <v>26144737.890000001</v>
      </c>
      <c r="J82" s="99">
        <f t="shared" si="15"/>
        <v>-67163.189999997616</v>
      </c>
      <c r="S82" s="86"/>
    </row>
    <row r="83" spans="1:19" x14ac:dyDescent="0.25">
      <c r="A83" s="240"/>
      <c r="B83" s="106"/>
      <c r="I83" s="91">
        <v>26077307.41</v>
      </c>
      <c r="J83" s="99">
        <f t="shared" si="15"/>
        <v>-67430.480000000447</v>
      </c>
      <c r="S83" s="86"/>
    </row>
    <row r="84" spans="1:19" x14ac:dyDescent="0.25">
      <c r="A84" s="240"/>
      <c r="B84" s="106"/>
      <c r="I84" s="91">
        <v>26009608.59</v>
      </c>
      <c r="J84" s="99">
        <f t="shared" si="15"/>
        <v>-67698.820000000298</v>
      </c>
      <c r="S84" s="86"/>
    </row>
    <row r="85" spans="1:19" x14ac:dyDescent="0.25">
      <c r="A85" s="240"/>
      <c r="B85" s="106"/>
      <c r="I85" s="91">
        <v>25941640.350000001</v>
      </c>
      <c r="J85" s="99">
        <f t="shared" si="15"/>
        <v>-67968.239999998361</v>
      </c>
      <c r="S85" s="86"/>
    </row>
    <row r="86" spans="1:19" x14ac:dyDescent="0.25">
      <c r="A86" s="240"/>
      <c r="B86" s="106"/>
      <c r="I86" s="91">
        <v>25873401.640000001</v>
      </c>
      <c r="J86" s="99">
        <f t="shared" si="15"/>
        <v>-68238.710000000894</v>
      </c>
      <c r="S86" s="86"/>
    </row>
    <row r="87" spans="1:19" x14ac:dyDescent="0.25">
      <c r="A87" s="240"/>
      <c r="B87" s="106"/>
      <c r="I87" s="91">
        <v>25804891.359999999</v>
      </c>
      <c r="J87" s="99">
        <f t="shared" si="15"/>
        <v>-68510.280000001192</v>
      </c>
      <c r="S87" s="86"/>
    </row>
    <row r="88" spans="1:19" x14ac:dyDescent="0.25">
      <c r="A88" s="240"/>
      <c r="B88" s="106"/>
      <c r="I88" s="91">
        <v>25736108.440000001</v>
      </c>
      <c r="J88" s="99">
        <f t="shared" si="15"/>
        <v>-68782.919999998063</v>
      </c>
      <c r="S88" s="86"/>
    </row>
    <row r="89" spans="1:19" x14ac:dyDescent="0.25">
      <c r="A89" s="240"/>
      <c r="B89" s="106"/>
      <c r="I89" s="91">
        <v>25667051.800000001</v>
      </c>
      <c r="J89" s="99">
        <f>-I88+I89</f>
        <v>-69056.640000000596</v>
      </c>
      <c r="S89" s="86"/>
    </row>
    <row r="90" spans="1:19" x14ac:dyDescent="0.25">
      <c r="A90" s="240"/>
      <c r="B90" s="106"/>
      <c r="I90" s="91">
        <v>25597720.34</v>
      </c>
      <c r="J90" s="99">
        <f>-I89+I90</f>
        <v>-69331.460000000894</v>
      </c>
      <c r="S90" s="86"/>
    </row>
    <row r="91" spans="1:19" x14ac:dyDescent="0.25">
      <c r="A91" s="240"/>
      <c r="B91" s="106"/>
      <c r="I91" s="91">
        <v>25528112.969999999</v>
      </c>
      <c r="J91" s="99">
        <f t="shared" si="15"/>
        <v>-69607.370000001043</v>
      </c>
      <c r="S91" s="86"/>
    </row>
    <row r="92" spans="1:19" x14ac:dyDescent="0.25">
      <c r="A92" s="240"/>
      <c r="B92" s="106"/>
      <c r="I92" s="91">
        <v>25458228.600000001</v>
      </c>
      <c r="J92" s="99">
        <f t="shared" si="15"/>
        <v>-69884.369999997318</v>
      </c>
      <c r="S92" s="86"/>
    </row>
    <row r="93" spans="1:19" x14ac:dyDescent="0.25">
      <c r="A93" s="240"/>
      <c r="B93" s="106"/>
      <c r="I93" s="91">
        <v>25388066.120000001</v>
      </c>
      <c r="J93" s="99">
        <f t="shared" si="15"/>
        <v>-70162.480000000447</v>
      </c>
      <c r="S93" s="86"/>
    </row>
    <row r="94" spans="1:19" x14ac:dyDescent="0.25">
      <c r="A94" s="240"/>
      <c r="B94" s="106"/>
      <c r="I94" s="91">
        <v>25317624.420000002</v>
      </c>
      <c r="J94" s="99">
        <f t="shared" si="15"/>
        <v>-70441.699999999255</v>
      </c>
      <c r="S94" s="86"/>
    </row>
    <row r="95" spans="1:19" x14ac:dyDescent="0.25">
      <c r="A95" s="240"/>
      <c r="B95" s="106"/>
      <c r="I95" s="91">
        <v>25246902.399999999</v>
      </c>
      <c r="J95" s="99">
        <f t="shared" si="15"/>
        <v>-70722.020000003278</v>
      </c>
      <c r="S95" s="86"/>
    </row>
    <row r="96" spans="1:19" x14ac:dyDescent="0.25">
      <c r="A96" s="240"/>
      <c r="B96" s="106"/>
      <c r="I96" s="91">
        <v>25175898.93</v>
      </c>
      <c r="J96" s="99">
        <f t="shared" si="15"/>
        <v>-71003.469999998808</v>
      </c>
      <c r="S96" s="86"/>
    </row>
    <row r="97" spans="1:19" x14ac:dyDescent="0.25">
      <c r="A97" s="240"/>
      <c r="B97" s="106"/>
      <c r="I97" s="91">
        <v>25104612.899999999</v>
      </c>
      <c r="J97" s="99">
        <f t="shared" si="15"/>
        <v>-71286.030000001192</v>
      </c>
      <c r="S97" s="86"/>
    </row>
    <row r="98" spans="1:19" x14ac:dyDescent="0.25">
      <c r="A98" s="240"/>
      <c r="B98" s="106"/>
      <c r="I98" s="91">
        <v>25033043.18</v>
      </c>
      <c r="J98" s="99">
        <f t="shared" si="15"/>
        <v>-71569.719999998808</v>
      </c>
      <c r="S98" s="86"/>
    </row>
    <row r="99" spans="1:19" x14ac:dyDescent="0.25">
      <c r="A99" s="240"/>
      <c r="B99" s="106"/>
      <c r="I99" s="91">
        <v>24961188.649999999</v>
      </c>
      <c r="J99" s="99">
        <f t="shared" si="15"/>
        <v>-71854.530000001192</v>
      </c>
      <c r="S99" s="86"/>
    </row>
    <row r="100" spans="1:19" x14ac:dyDescent="0.25">
      <c r="A100" s="240"/>
      <c r="B100" s="106"/>
      <c r="I100" s="91">
        <v>24889048.170000002</v>
      </c>
      <c r="J100" s="99">
        <f t="shared" si="15"/>
        <v>-72140.479999996722</v>
      </c>
      <c r="S100" s="86"/>
    </row>
    <row r="101" spans="1:19" x14ac:dyDescent="0.25">
      <c r="A101" s="240"/>
      <c r="B101" s="106"/>
      <c r="I101" s="91">
        <v>24816620.600000001</v>
      </c>
      <c r="J101" s="99">
        <f t="shared" si="15"/>
        <v>-72427.570000000298</v>
      </c>
      <c r="S101" s="86"/>
    </row>
    <row r="102" spans="1:19" x14ac:dyDescent="0.25">
      <c r="A102" s="240"/>
      <c r="B102" s="106"/>
      <c r="I102" s="91">
        <v>24743904.800000001</v>
      </c>
      <c r="J102" s="99">
        <f t="shared" si="15"/>
        <v>-72715.800000000745</v>
      </c>
      <c r="S102" s="86"/>
    </row>
    <row r="103" spans="1:19" x14ac:dyDescent="0.25">
      <c r="A103" s="240"/>
      <c r="B103" s="106"/>
      <c r="I103" s="91">
        <v>24670899.629999999</v>
      </c>
      <c r="J103" s="99">
        <f t="shared" si="15"/>
        <v>-73005.170000001788</v>
      </c>
      <c r="S103" s="86"/>
    </row>
    <row r="104" spans="1:19" x14ac:dyDescent="0.25">
      <c r="A104" s="240"/>
      <c r="B104" s="106"/>
      <c r="I104" s="91">
        <v>24597603.920000002</v>
      </c>
      <c r="J104" s="99">
        <f t="shared" si="15"/>
        <v>-73295.709999997169</v>
      </c>
      <c r="S104" s="86"/>
    </row>
    <row r="105" spans="1:19" x14ac:dyDescent="0.25">
      <c r="A105" s="240"/>
      <c r="B105" s="106"/>
      <c r="I105" s="91">
        <v>24524016.539999999</v>
      </c>
      <c r="J105" s="99">
        <f t="shared" si="15"/>
        <v>-73587.380000002682</v>
      </c>
      <c r="S105" s="86"/>
    </row>
    <row r="106" spans="1:19" x14ac:dyDescent="0.25">
      <c r="A106" s="240"/>
      <c r="B106" s="106"/>
      <c r="I106" s="91">
        <v>24450136.300000001</v>
      </c>
      <c r="J106" s="99">
        <f t="shared" si="15"/>
        <v>-73880.239999998361</v>
      </c>
      <c r="S106" s="86"/>
    </row>
    <row r="107" spans="1:19" x14ac:dyDescent="0.25">
      <c r="A107" s="240"/>
      <c r="B107" s="106"/>
      <c r="I107" s="91">
        <v>24375962.059999999</v>
      </c>
      <c r="J107" s="99">
        <f t="shared" si="15"/>
        <v>-74174.240000002086</v>
      </c>
      <c r="S107" s="86"/>
    </row>
    <row r="108" spans="1:19" x14ac:dyDescent="0.25">
      <c r="A108" s="240"/>
      <c r="B108" s="106"/>
      <c r="I108" s="91">
        <v>24301492.629999999</v>
      </c>
      <c r="J108" s="99">
        <f t="shared" si="15"/>
        <v>-74469.429999999702</v>
      </c>
      <c r="S108" s="86"/>
    </row>
    <row r="109" spans="1:19" x14ac:dyDescent="0.25">
      <c r="A109" s="240"/>
      <c r="B109" s="106"/>
      <c r="I109" s="91">
        <v>24226726.850000001</v>
      </c>
      <c r="J109" s="99">
        <f t="shared" si="15"/>
        <v>-74765.779999997467</v>
      </c>
      <c r="S109" s="86"/>
    </row>
    <row r="110" spans="1:19" x14ac:dyDescent="0.25">
      <c r="A110" s="240"/>
      <c r="B110" s="106"/>
      <c r="I110" s="91">
        <v>24151663.539999999</v>
      </c>
      <c r="J110" s="99">
        <f t="shared" si="15"/>
        <v>-75063.310000002384</v>
      </c>
      <c r="S110" s="86"/>
    </row>
    <row r="111" spans="1:19" x14ac:dyDescent="0.25">
      <c r="B111" s="107"/>
      <c r="C111" s="108"/>
      <c r="D111" s="108"/>
      <c r="E111" s="108"/>
      <c r="I111" s="91">
        <v>24076301.5</v>
      </c>
      <c r="J111" s="99">
        <f t="shared" si="15"/>
        <v>-75362.039999999106</v>
      </c>
      <c r="S111" s="86"/>
    </row>
    <row r="112" spans="1:19" x14ac:dyDescent="0.25">
      <c r="B112" s="107"/>
      <c r="C112" s="108"/>
      <c r="D112" s="108"/>
      <c r="E112" s="108"/>
      <c r="I112" s="91">
        <v>24000639.559999999</v>
      </c>
      <c r="J112" s="99">
        <f t="shared" si="15"/>
        <v>-75661.940000001341</v>
      </c>
      <c r="S112" s="86"/>
    </row>
    <row r="113" spans="2:19" x14ac:dyDescent="0.25">
      <c r="B113" s="107"/>
      <c r="C113" s="108"/>
      <c r="D113" s="108"/>
      <c r="E113" s="108"/>
      <c r="I113" s="91">
        <v>23924676.52</v>
      </c>
      <c r="J113" s="99">
        <f t="shared" si="15"/>
        <v>-75963.039999999106</v>
      </c>
      <c r="S113" s="86"/>
    </row>
    <row r="114" spans="2:19" x14ac:dyDescent="0.25">
      <c r="B114" s="107"/>
      <c r="C114" s="108"/>
      <c r="D114" s="108"/>
      <c r="E114" s="108"/>
      <c r="I114" s="91">
        <v>23848411.18</v>
      </c>
      <c r="J114" s="99">
        <f t="shared" si="15"/>
        <v>-76265.339999999851</v>
      </c>
      <c r="S114" s="86"/>
    </row>
    <row r="115" spans="2:19" x14ac:dyDescent="0.25">
      <c r="B115" s="107"/>
      <c r="C115" s="108"/>
      <c r="D115" s="108"/>
      <c r="E115" s="108"/>
      <c r="I115" s="91">
        <v>23771842.329999998</v>
      </c>
      <c r="J115" s="99">
        <f t="shared" si="15"/>
        <v>-76568.85000000149</v>
      </c>
      <c r="S115" s="86"/>
    </row>
    <row r="116" spans="2:19" x14ac:dyDescent="0.25">
      <c r="B116" s="107"/>
      <c r="C116" s="108"/>
      <c r="D116" s="108"/>
      <c r="E116" s="108"/>
      <c r="I116" s="91">
        <v>23694968.780000001</v>
      </c>
      <c r="J116" s="99">
        <f t="shared" si="15"/>
        <v>-76873.54999999702</v>
      </c>
      <c r="S116" s="86"/>
    </row>
    <row r="117" spans="2:19" x14ac:dyDescent="0.25">
      <c r="B117" s="107"/>
      <c r="C117" s="108"/>
      <c r="D117" s="108"/>
      <c r="E117" s="108"/>
      <c r="I117" s="91">
        <v>23617789.300000001</v>
      </c>
      <c r="J117" s="99">
        <f t="shared" si="15"/>
        <v>-77179.480000000447</v>
      </c>
      <c r="S117" s="86"/>
    </row>
    <row r="118" spans="2:19" x14ac:dyDescent="0.25">
      <c r="B118" s="107"/>
      <c r="C118" s="108"/>
      <c r="D118" s="108"/>
      <c r="E118" s="108"/>
      <c r="I118" s="91">
        <v>23540302.68</v>
      </c>
      <c r="J118" s="99">
        <f t="shared" si="15"/>
        <v>-77486.620000001043</v>
      </c>
      <c r="S118" s="86"/>
    </row>
    <row r="119" spans="2:19" x14ac:dyDescent="0.25">
      <c r="B119" s="107"/>
      <c r="C119" s="108"/>
      <c r="D119" s="108"/>
      <c r="E119" s="108"/>
      <c r="I119" s="91">
        <v>23462507.699999999</v>
      </c>
      <c r="J119" s="99">
        <f t="shared" si="15"/>
        <v>-77794.980000000447</v>
      </c>
      <c r="S119" s="86"/>
    </row>
    <row r="120" spans="2:19" x14ac:dyDescent="0.25">
      <c r="B120" s="107"/>
      <c r="C120" s="108"/>
      <c r="D120" s="108"/>
      <c r="E120" s="108"/>
      <c r="I120" s="91">
        <v>23384403.129999999</v>
      </c>
      <c r="J120" s="99">
        <f t="shared" si="15"/>
        <v>-78104.570000000298</v>
      </c>
      <c r="S120" s="86"/>
    </row>
    <row r="121" spans="2:19" x14ac:dyDescent="0.25">
      <c r="B121" s="107"/>
      <c r="C121" s="108"/>
      <c r="D121" s="108"/>
      <c r="E121" s="108"/>
      <c r="I121" s="91">
        <v>23305987.739999998</v>
      </c>
      <c r="J121" s="99">
        <f t="shared" si="15"/>
        <v>-78415.390000000596</v>
      </c>
      <c r="S121" s="86"/>
    </row>
    <row r="122" spans="2:19" x14ac:dyDescent="0.25">
      <c r="B122" s="107"/>
      <c r="C122" s="108"/>
      <c r="D122" s="108"/>
      <c r="E122" s="108"/>
      <c r="I122" s="91">
        <v>23227260.289999999</v>
      </c>
      <c r="J122" s="99">
        <f t="shared" si="15"/>
        <v>-78727.449999999255</v>
      </c>
      <c r="S122" s="86"/>
    </row>
    <row r="123" spans="2:19" x14ac:dyDescent="0.25">
      <c r="B123" s="107"/>
      <c r="C123" s="108"/>
      <c r="D123" s="108"/>
      <c r="E123" s="108"/>
      <c r="I123" s="91">
        <v>23148219.539999999</v>
      </c>
      <c r="J123" s="99">
        <f t="shared" si="15"/>
        <v>-79040.75</v>
      </c>
      <c r="S123" s="86"/>
    </row>
    <row r="124" spans="2:19" x14ac:dyDescent="0.25">
      <c r="B124" s="107"/>
      <c r="C124" s="108"/>
      <c r="D124" s="108"/>
      <c r="E124" s="108"/>
      <c r="I124" s="91">
        <v>23068864.239999998</v>
      </c>
      <c r="J124" s="99">
        <f t="shared" si="15"/>
        <v>-79355.300000000745</v>
      </c>
      <c r="S124" s="86"/>
    </row>
    <row r="125" spans="2:19" x14ac:dyDescent="0.25">
      <c r="B125" s="107"/>
      <c r="C125" s="108"/>
      <c r="D125" s="108"/>
      <c r="E125" s="108"/>
      <c r="I125" s="91">
        <v>22989193.149999999</v>
      </c>
      <c r="J125" s="99">
        <f t="shared" si="15"/>
        <v>-79671.089999999851</v>
      </c>
      <c r="S125" s="86"/>
    </row>
    <row r="126" spans="2:19" x14ac:dyDescent="0.25">
      <c r="B126" s="107"/>
      <c r="C126" s="108"/>
      <c r="D126" s="108"/>
      <c r="E126" s="108"/>
      <c r="I126" s="91">
        <v>22909204.989999998</v>
      </c>
      <c r="J126" s="99">
        <f t="shared" si="15"/>
        <v>-79988.160000000149</v>
      </c>
      <c r="S126" s="86"/>
    </row>
    <row r="127" spans="2:19" x14ac:dyDescent="0.25">
      <c r="B127" s="107"/>
      <c r="C127" s="108"/>
      <c r="D127" s="108"/>
      <c r="E127" s="108"/>
      <c r="I127" s="91">
        <v>22828898.52</v>
      </c>
      <c r="J127" s="99">
        <f t="shared" si="15"/>
        <v>-80306.469999998808</v>
      </c>
      <c r="S127" s="86"/>
    </row>
    <row r="128" spans="2:19" x14ac:dyDescent="0.25">
      <c r="B128" s="107"/>
      <c r="C128" s="108"/>
      <c r="D128" s="108"/>
      <c r="E128" s="108"/>
      <c r="I128" s="91">
        <v>22748272.469999999</v>
      </c>
      <c r="J128" s="99">
        <f t="shared" si="15"/>
        <v>-80626.050000000745</v>
      </c>
      <c r="S128" s="86"/>
    </row>
    <row r="129" spans="2:19" x14ac:dyDescent="0.25">
      <c r="B129" s="107"/>
      <c r="C129" s="108"/>
      <c r="D129" s="108"/>
      <c r="E129" s="108"/>
      <c r="I129" s="91">
        <v>22667325.559999999</v>
      </c>
      <c r="J129" s="99">
        <f t="shared" si="15"/>
        <v>-80946.910000000149</v>
      </c>
      <c r="S129" s="86"/>
    </row>
    <row r="130" spans="2:19" x14ac:dyDescent="0.25">
      <c r="B130" s="107"/>
      <c r="C130" s="108"/>
      <c r="D130" s="108"/>
      <c r="E130" s="108"/>
      <c r="I130" s="91">
        <v>22586056.52</v>
      </c>
      <c r="J130" s="99">
        <f t="shared" si="15"/>
        <v>-81269.039999999106</v>
      </c>
      <c r="S130" s="86"/>
    </row>
    <row r="131" spans="2:19" x14ac:dyDescent="0.25">
      <c r="B131" s="107"/>
      <c r="C131" s="108"/>
      <c r="D131" s="108"/>
      <c r="E131" s="108"/>
      <c r="I131" s="91">
        <v>22504464.059999999</v>
      </c>
      <c r="J131" s="99">
        <f t="shared" si="15"/>
        <v>-81592.460000000894</v>
      </c>
      <c r="S131" s="86"/>
    </row>
    <row r="132" spans="2:19" x14ac:dyDescent="0.25">
      <c r="B132" s="107"/>
      <c r="C132" s="108"/>
      <c r="D132" s="108"/>
      <c r="E132" s="108"/>
      <c r="I132" s="91">
        <v>22422546.899999999</v>
      </c>
      <c r="J132" s="99">
        <f t="shared" si="15"/>
        <v>-81917.160000000149</v>
      </c>
      <c r="S132" s="86"/>
    </row>
    <row r="133" spans="2:19" x14ac:dyDescent="0.25">
      <c r="B133" s="107"/>
      <c r="C133" s="108"/>
      <c r="D133" s="108"/>
      <c r="E133" s="108"/>
      <c r="I133" s="91">
        <v>22340303.739999998</v>
      </c>
      <c r="J133" s="99">
        <f t="shared" si="15"/>
        <v>-82243.160000000149</v>
      </c>
      <c r="S133" s="86"/>
    </row>
    <row r="134" spans="2:19" x14ac:dyDescent="0.25">
      <c r="B134" s="107"/>
      <c r="C134" s="108"/>
      <c r="D134" s="108"/>
      <c r="E134" s="108"/>
      <c r="I134" s="91">
        <v>22257733.300000001</v>
      </c>
      <c r="J134" s="99">
        <f t="shared" si="15"/>
        <v>-82570.439999997616</v>
      </c>
      <c r="S134" s="86"/>
    </row>
    <row r="135" spans="2:19" x14ac:dyDescent="0.25">
      <c r="B135" s="107"/>
      <c r="C135" s="108"/>
      <c r="D135" s="108"/>
      <c r="E135" s="108"/>
      <c r="I135" s="91">
        <v>22174834.260000002</v>
      </c>
      <c r="J135" s="99">
        <f t="shared" si="15"/>
        <v>-82899.039999999106</v>
      </c>
      <c r="S135" s="86"/>
    </row>
    <row r="136" spans="2:19" x14ac:dyDescent="0.25">
      <c r="B136" s="107"/>
      <c r="C136" s="108"/>
      <c r="D136" s="108"/>
      <c r="E136" s="108"/>
      <c r="I136" s="242">
        <v>22091605.32</v>
      </c>
      <c r="J136" s="243">
        <f t="shared" si="15"/>
        <v>-83228.940000001341</v>
      </c>
    </row>
    <row r="137" spans="2:19" x14ac:dyDescent="0.25">
      <c r="B137" s="107"/>
      <c r="C137" s="108"/>
      <c r="D137" s="108"/>
      <c r="E137" s="108"/>
    </row>
    <row r="138" spans="2:19" x14ac:dyDescent="0.25">
      <c r="B138" s="107"/>
      <c r="C138" s="108"/>
      <c r="D138" s="108"/>
      <c r="E138" s="108"/>
    </row>
    <row r="139" spans="2:19" x14ac:dyDescent="0.25">
      <c r="B139" s="107"/>
      <c r="C139" s="108"/>
      <c r="D139" s="108"/>
      <c r="E139" s="108"/>
    </row>
    <row r="140" spans="2:19" x14ac:dyDescent="0.25">
      <c r="B140" s="107"/>
      <c r="C140" s="108"/>
      <c r="D140" s="108"/>
      <c r="E140" s="108"/>
    </row>
    <row r="141" spans="2:19" x14ac:dyDescent="0.25">
      <c r="B141" s="107"/>
      <c r="C141" s="108"/>
      <c r="D141" s="108"/>
      <c r="E141" s="108"/>
    </row>
    <row r="142" spans="2:19" x14ac:dyDescent="0.25">
      <c r="B142" s="107"/>
      <c r="C142" s="108"/>
      <c r="D142" s="108"/>
      <c r="E142" s="108"/>
    </row>
    <row r="143" spans="2:19" x14ac:dyDescent="0.25">
      <c r="B143" s="107"/>
      <c r="C143" s="108"/>
      <c r="D143" s="108"/>
      <c r="E143" s="108"/>
    </row>
    <row r="144" spans="2:19" x14ac:dyDescent="0.25">
      <c r="B144" s="107"/>
      <c r="C144" s="108"/>
      <c r="D144" s="108"/>
      <c r="E144" s="108"/>
    </row>
    <row r="145" spans="2:5" x14ac:dyDescent="0.25">
      <c r="B145" s="107"/>
      <c r="C145" s="108"/>
      <c r="D145" s="108"/>
      <c r="E145" s="108"/>
    </row>
    <row r="146" spans="2:5" x14ac:dyDescent="0.25">
      <c r="B146" s="107"/>
      <c r="C146" s="108"/>
      <c r="D146" s="108"/>
      <c r="E146" s="108"/>
    </row>
    <row r="147" spans="2:5" x14ac:dyDescent="0.25">
      <c r="B147" s="107"/>
      <c r="C147" s="108"/>
      <c r="D147" s="108"/>
      <c r="E147" s="108"/>
    </row>
    <row r="148" spans="2:5" x14ac:dyDescent="0.25">
      <c r="B148" s="107"/>
      <c r="C148" s="108"/>
      <c r="D148" s="108"/>
      <c r="E148" s="108"/>
    </row>
    <row r="149" spans="2:5" x14ac:dyDescent="0.25">
      <c r="B149" s="107"/>
      <c r="C149" s="108"/>
      <c r="D149" s="108"/>
      <c r="E149" s="108"/>
    </row>
    <row r="150" spans="2:5" x14ac:dyDescent="0.25">
      <c r="B150" s="107"/>
      <c r="C150" s="108"/>
      <c r="D150" s="108"/>
      <c r="E150" s="108"/>
    </row>
    <row r="151" spans="2:5" x14ac:dyDescent="0.25">
      <c r="B151" s="107"/>
      <c r="C151" s="108"/>
      <c r="D151" s="108"/>
      <c r="E151" s="108"/>
    </row>
    <row r="152" spans="2:5" x14ac:dyDescent="0.25">
      <c r="B152" s="107"/>
      <c r="C152" s="108"/>
      <c r="D152" s="108"/>
      <c r="E152" s="108"/>
    </row>
    <row r="153" spans="2:5" x14ac:dyDescent="0.25">
      <c r="B153" s="107"/>
      <c r="C153" s="108"/>
      <c r="D153" s="108"/>
      <c r="E153" s="108"/>
    </row>
    <row r="154" spans="2:5" x14ac:dyDescent="0.25">
      <c r="B154" s="107"/>
      <c r="C154" s="108"/>
      <c r="D154" s="108"/>
      <c r="E154" s="108"/>
    </row>
    <row r="155" spans="2:5" x14ac:dyDescent="0.25">
      <c r="B155" s="107"/>
      <c r="C155" s="108"/>
      <c r="D155" s="108"/>
      <c r="E155" s="108"/>
    </row>
    <row r="156" spans="2:5" x14ac:dyDescent="0.25">
      <c r="B156" s="107"/>
      <c r="C156" s="108"/>
    </row>
    <row r="157" spans="2:5" x14ac:dyDescent="0.25">
      <c r="B157" s="107"/>
      <c r="C157" s="108"/>
    </row>
    <row r="158" spans="2:5" x14ac:dyDescent="0.25">
      <c r="B158" s="107"/>
      <c r="C158" s="108"/>
    </row>
    <row r="159" spans="2:5" x14ac:dyDescent="0.25">
      <c r="B159" s="107"/>
    </row>
    <row r="160" spans="2:5" x14ac:dyDescent="0.25">
      <c r="B160" s="107"/>
    </row>
    <row r="161" spans="2:2" x14ac:dyDescent="0.25">
      <c r="B161" s="107"/>
    </row>
    <row r="162" spans="2:2" x14ac:dyDescent="0.25">
      <c r="B162" s="107"/>
    </row>
    <row r="163" spans="2:2" x14ac:dyDescent="0.25">
      <c r="B163" s="107"/>
    </row>
  </sheetData>
  <dataValidations count="1">
    <dataValidation allowBlank="1" showInputMessage="1" showErrorMessage="1" promptTitle="Entrer Taux CORRA" prompt="Taux CORRA composé pour la période" sqref="H17:H76" xr:uid="{69D0AC32-8B60-477C-AD7C-E89A438032CD}"/>
  </dataValidations>
  <pageMargins left="0.25" right="0.25" top="0.75" bottom="0.75" header="0.3" footer="0.3"/>
  <pageSetup scale="51" orientation="portrait" r:id="rId1"/>
  <headerFooter>
    <oddFooter>&amp;L&amp;1#&amp;"Calibri"&amp;10&amp;K000000Internal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1C66C-87E0-461C-B8EE-4EA3C31801C2}">
  <dimension ref="A2:S128"/>
  <sheetViews>
    <sheetView workbookViewId="0">
      <selection activeCell="R19" sqref="R19"/>
    </sheetView>
  </sheetViews>
  <sheetFormatPr baseColWidth="10" defaultRowHeight="13.2" x14ac:dyDescent="0.25"/>
  <cols>
    <col min="1" max="1" width="6.88671875" customWidth="1"/>
    <col min="2" max="2" width="17.21875" customWidth="1"/>
    <col min="3" max="3" width="18.5546875" bestFit="1" customWidth="1"/>
    <col min="4" max="4" width="7.21875" customWidth="1"/>
    <col min="5" max="5" width="13.88671875" bestFit="1" customWidth="1"/>
    <col min="6" max="6" width="16.5546875" customWidth="1"/>
    <col min="7" max="7" width="17.33203125" customWidth="1"/>
    <col min="8" max="8" width="16.109375" bestFit="1" customWidth="1"/>
    <col min="9" max="9" width="13.44140625" bestFit="1" customWidth="1"/>
    <col min="11" max="11" width="20" customWidth="1"/>
    <col min="12" max="12" width="18.109375" bestFit="1" customWidth="1"/>
    <col min="13" max="13" width="16.109375" bestFit="1" customWidth="1"/>
    <col min="14" max="14" width="17.109375" bestFit="1" customWidth="1"/>
    <col min="15" max="15" width="7.21875" customWidth="1"/>
    <col min="16" max="16" width="12.109375" bestFit="1" customWidth="1"/>
    <col min="18" max="18" width="13.6640625" bestFit="1" customWidth="1"/>
    <col min="19" max="19" width="15.44140625" bestFit="1" customWidth="1"/>
  </cols>
  <sheetData>
    <row r="2" spans="2:19" x14ac:dyDescent="0.25">
      <c r="B2" s="40" t="s">
        <v>29</v>
      </c>
      <c r="C2" s="42"/>
    </row>
    <row r="3" spans="2:19" x14ac:dyDescent="0.25">
      <c r="B3" s="43" t="s">
        <v>30</v>
      </c>
      <c r="C3" s="45">
        <v>3.13453E-2</v>
      </c>
    </row>
    <row r="4" spans="2:19" x14ac:dyDescent="0.25">
      <c r="B4" s="46" t="s">
        <v>31</v>
      </c>
      <c r="C4" s="48">
        <v>2.2954700000000001E-2</v>
      </c>
      <c r="E4" s="175"/>
    </row>
    <row r="5" spans="2:19" ht="13.8" thickBot="1" x14ac:dyDescent="0.3">
      <c r="B5" s="50" t="s">
        <v>32</v>
      </c>
      <c r="C5" s="176">
        <f>C3+C4</f>
        <v>5.4300000000000001E-2</v>
      </c>
    </row>
    <row r="6" spans="2:19" ht="13.8" thickTop="1" x14ac:dyDescent="0.25">
      <c r="B6" s="50" t="s">
        <v>33</v>
      </c>
      <c r="C6" s="53">
        <f>C44</f>
        <v>46594</v>
      </c>
    </row>
    <row r="7" spans="2:19" x14ac:dyDescent="0.25">
      <c r="B7" s="55" t="s">
        <v>34</v>
      </c>
      <c r="C7" s="57">
        <v>300</v>
      </c>
    </row>
    <row r="8" spans="2:19" x14ac:dyDescent="0.25">
      <c r="N8" s="280" t="s">
        <v>227</v>
      </c>
      <c r="O8" s="280"/>
      <c r="P8" s="280"/>
    </row>
    <row r="9" spans="2:19" ht="39.6" x14ac:dyDescent="0.25">
      <c r="B9" s="109" t="s">
        <v>56</v>
      </c>
      <c r="C9" s="110" t="s">
        <v>7</v>
      </c>
      <c r="D9" s="109" t="s">
        <v>57</v>
      </c>
      <c r="E9" s="109" t="s">
        <v>58</v>
      </c>
      <c r="F9" s="109" t="s">
        <v>59</v>
      </c>
      <c r="G9" s="109" t="s">
        <v>60</v>
      </c>
      <c r="H9" s="109" t="s">
        <v>61</v>
      </c>
      <c r="I9" s="109" t="s">
        <v>62</v>
      </c>
      <c r="J9" s="109" t="s">
        <v>63</v>
      </c>
      <c r="K9" s="109" t="s">
        <v>116</v>
      </c>
      <c r="L9" s="109" t="s">
        <v>217</v>
      </c>
      <c r="M9" s="109" t="s">
        <v>218</v>
      </c>
      <c r="N9" s="109" t="s">
        <v>45</v>
      </c>
      <c r="O9" s="109" t="s">
        <v>57</v>
      </c>
      <c r="P9" s="109" t="s">
        <v>8</v>
      </c>
    </row>
    <row r="10" spans="2:19" x14ac:dyDescent="0.25">
      <c r="B10" s="113">
        <v>45524</v>
      </c>
      <c r="C10" s="114">
        <v>45561</v>
      </c>
      <c r="D10" s="115">
        <f>IF(B11="","",C10-B10)-1</f>
        <v>36</v>
      </c>
      <c r="E10" s="114">
        <v>45561</v>
      </c>
      <c r="F10" s="121">
        <v>105062.13</v>
      </c>
      <c r="G10" s="121">
        <v>15000000</v>
      </c>
      <c r="H10" s="121">
        <f>IF(G10="","",G10-G11)</f>
        <v>23612.13000000082</v>
      </c>
      <c r="I10" s="121">
        <v>81450</v>
      </c>
      <c r="J10" s="116">
        <f t="shared" ref="J10:J73" si="0">$C$5</f>
        <v>5.4300000000000001E-2</v>
      </c>
      <c r="K10" s="116">
        <v>4.6362744999999997E-2</v>
      </c>
      <c r="L10" s="121">
        <f>G10*(K10+$C$4)*D10/365</f>
        <v>102551.83643835617</v>
      </c>
      <c r="M10" s="121">
        <f>L10-I10</f>
        <v>21101.836438356171</v>
      </c>
      <c r="N10" s="117">
        <v>45565</v>
      </c>
      <c r="O10" s="115">
        <f>N10-C10+1</f>
        <v>5</v>
      </c>
      <c r="P10" s="121">
        <f>-IF(K10="","",ROUND(G10*($C$3-K10)*O10/365,2))</f>
        <v>3085.78</v>
      </c>
    </row>
    <row r="11" spans="2:19" x14ac:dyDescent="0.25">
      <c r="B11" s="117">
        <v>45561</v>
      </c>
      <c r="C11" s="111">
        <v>45591</v>
      </c>
      <c r="D11" s="112">
        <v>30</v>
      </c>
      <c r="E11" s="111">
        <v>45593</v>
      </c>
      <c r="F11" s="122">
        <v>91487.13</v>
      </c>
      <c r="G11" s="122">
        <v>14976387.869999999</v>
      </c>
      <c r="H11" s="122">
        <f>IF(G11="","",G11-G12)</f>
        <v>23718.969999998808</v>
      </c>
      <c r="I11" s="121">
        <v>67768.160000000003</v>
      </c>
      <c r="J11" s="118">
        <v>5.4300000000000001E-2</v>
      </c>
      <c r="K11" s="116">
        <v>4.7458395E-2</v>
      </c>
      <c r="L11" s="121">
        <f t="shared" ref="L11" si="1">G11*(K11+$C$4)*D11/365</f>
        <v>86674.012754560914</v>
      </c>
      <c r="M11" s="121">
        <f t="shared" ref="M11:M13" si="2">L11-I11</f>
        <v>18905.85275456091</v>
      </c>
      <c r="N11" s="117">
        <v>45596</v>
      </c>
      <c r="O11" s="112">
        <f t="shared" ref="O11:O74" si="3">N11-C11+1</f>
        <v>6</v>
      </c>
      <c r="P11" s="121">
        <f t="shared" ref="P11:P74" si="4">-IF(K11="","",ROUND(G11*($C$3-K11)*O11/365,2))</f>
        <v>3966.84</v>
      </c>
      <c r="R11" s="123"/>
      <c r="S11" s="295"/>
    </row>
    <row r="12" spans="2:19" x14ac:dyDescent="0.25">
      <c r="B12" s="117">
        <v>45591</v>
      </c>
      <c r="C12" s="111">
        <v>45622</v>
      </c>
      <c r="D12" s="112">
        <v>30</v>
      </c>
      <c r="E12" s="111">
        <v>45622</v>
      </c>
      <c r="F12" s="122">
        <v>91487.13</v>
      </c>
      <c r="G12" s="122">
        <v>14952668.9</v>
      </c>
      <c r="H12" s="122">
        <f>IF(G12="","",G12-G13)</f>
        <v>23826.290000000969</v>
      </c>
      <c r="I12" s="122">
        <v>67660.83</v>
      </c>
      <c r="J12" s="118">
        <f>$C$5</f>
        <v>5.4300000000000001E-2</v>
      </c>
      <c r="K12" s="116">
        <v>3.6569224999999997E-2</v>
      </c>
      <c r="L12" s="121">
        <f>G12*(K12+$C$4)*D12/365</f>
        <v>73154.099355076643</v>
      </c>
      <c r="M12" s="121">
        <f t="shared" si="2"/>
        <v>5493.2693550766417</v>
      </c>
      <c r="N12" s="117">
        <v>45626</v>
      </c>
      <c r="O12" s="112">
        <f t="shared" si="3"/>
        <v>5</v>
      </c>
      <c r="P12" s="122">
        <f t="shared" si="4"/>
        <v>1070.02</v>
      </c>
      <c r="R12" s="124"/>
      <c r="S12" s="295"/>
    </row>
    <row r="13" spans="2:19" x14ac:dyDescent="0.25">
      <c r="B13" s="117">
        <v>45622</v>
      </c>
      <c r="C13" s="111">
        <v>45652</v>
      </c>
      <c r="D13" s="112">
        <v>30</v>
      </c>
      <c r="E13" s="111">
        <v>45653</v>
      </c>
      <c r="F13" s="122">
        <v>91487.12</v>
      </c>
      <c r="G13" s="122">
        <v>14928842.609999999</v>
      </c>
      <c r="H13" s="122">
        <f t="shared" ref="H13:H43" si="5">IF(G13="","",G13-G14)</f>
        <v>23934.11999999918</v>
      </c>
      <c r="I13" s="122">
        <v>67553.009999999995</v>
      </c>
      <c r="J13" s="118">
        <f t="shared" si="0"/>
        <v>5.4300000000000001E-2</v>
      </c>
      <c r="K13" s="116">
        <v>3.860135E-2</v>
      </c>
      <c r="L13" s="121">
        <f>G13*(K13+$C$4)*D13/365</f>
        <v>75531.00675150333</v>
      </c>
      <c r="M13" s="121">
        <f t="shared" si="2"/>
        <v>7977.996751503335</v>
      </c>
      <c r="N13" s="117">
        <v>45657</v>
      </c>
      <c r="O13" s="112">
        <f t="shared" si="3"/>
        <v>6</v>
      </c>
      <c r="P13" s="122">
        <f t="shared" si="4"/>
        <v>1780.68</v>
      </c>
      <c r="S13" s="295"/>
    </row>
    <row r="14" spans="2:19" x14ac:dyDescent="0.25">
      <c r="B14" s="117">
        <v>45652</v>
      </c>
      <c r="C14" s="111">
        <v>45683</v>
      </c>
      <c r="D14" s="112">
        <v>30</v>
      </c>
      <c r="E14" s="111">
        <v>45684</v>
      </c>
      <c r="F14" s="122">
        <v>91487.12</v>
      </c>
      <c r="G14" s="122">
        <v>14904908.49</v>
      </c>
      <c r="H14" s="122">
        <f t="shared" si="5"/>
        <v>24042.410000000149</v>
      </c>
      <c r="I14" s="122">
        <v>67444.710000000006</v>
      </c>
      <c r="J14" s="118">
        <f t="shared" si="0"/>
        <v>5.4300000000000001E-2</v>
      </c>
      <c r="K14" s="116">
        <v>3.4921004999999998E-2</v>
      </c>
      <c r="L14" s="121">
        <f t="shared" ref="L14:L25" si="6">G14*(K14+$C$4)*D14/365</f>
        <v>70901.267409800173</v>
      </c>
      <c r="M14" s="121">
        <f t="shared" ref="M14:M25" si="7">L14-I14</f>
        <v>3456.5574098001671</v>
      </c>
      <c r="N14" s="117">
        <v>45688</v>
      </c>
      <c r="O14" s="112">
        <f t="shared" si="3"/>
        <v>6</v>
      </c>
      <c r="P14" s="122">
        <f>-IF(K14="","",ROUND(G14*($C$3-K14)*O14/365,2))</f>
        <v>876.09</v>
      </c>
      <c r="R14" s="123"/>
      <c r="S14" s="295"/>
    </row>
    <row r="15" spans="2:19" x14ac:dyDescent="0.25">
      <c r="B15" s="117">
        <v>45683</v>
      </c>
      <c r="C15" s="111">
        <v>45714</v>
      </c>
      <c r="D15" s="112">
        <v>30</v>
      </c>
      <c r="E15" s="111">
        <v>45714</v>
      </c>
      <c r="F15" s="122">
        <v>91487.13</v>
      </c>
      <c r="G15" s="122">
        <v>14880866.08</v>
      </c>
      <c r="H15" s="122">
        <f t="shared" si="5"/>
        <v>24151.210000000894</v>
      </c>
      <c r="I15" s="122">
        <v>67335.92</v>
      </c>
      <c r="J15" s="118">
        <f t="shared" si="0"/>
        <v>5.4300000000000001E-2</v>
      </c>
      <c r="K15" s="254">
        <f>'Dettes - CORRA'!E13</f>
        <v>3.0750366666666671E-2</v>
      </c>
      <c r="L15" s="121">
        <f t="shared" si="6"/>
        <v>65685.85519595661</v>
      </c>
      <c r="M15" s="121">
        <f t="shared" si="7"/>
        <v>-1650.064804043388</v>
      </c>
      <c r="N15" s="117">
        <v>45716</v>
      </c>
      <c r="O15" s="112">
        <f t="shared" si="3"/>
        <v>3</v>
      </c>
      <c r="P15" s="122">
        <f t="shared" si="4"/>
        <v>-72.77</v>
      </c>
      <c r="S15" s="295"/>
    </row>
    <row r="16" spans="2:19" x14ac:dyDescent="0.25">
      <c r="B16" s="117">
        <v>45714</v>
      </c>
      <c r="C16" s="111">
        <v>45742</v>
      </c>
      <c r="D16" s="112">
        <v>30</v>
      </c>
      <c r="E16" s="111">
        <v>45742</v>
      </c>
      <c r="F16" s="122">
        <v>91487.12</v>
      </c>
      <c r="G16" s="122">
        <v>14856714.869999999</v>
      </c>
      <c r="H16" s="122">
        <f t="shared" si="5"/>
        <v>24260.489999998361</v>
      </c>
      <c r="I16" s="122">
        <v>67226.63</v>
      </c>
      <c r="J16" s="118">
        <f t="shared" si="0"/>
        <v>5.4300000000000001E-2</v>
      </c>
      <c r="K16" s="254">
        <f>'Dettes - CORRA'!E14</f>
        <v>2.9333700000000004E-2</v>
      </c>
      <c r="L16" s="121">
        <f t="shared" si="6"/>
        <v>63849.35751850751</v>
      </c>
      <c r="M16" s="121">
        <f t="shared" si="7"/>
        <v>-3377.272481492495</v>
      </c>
      <c r="N16" s="117">
        <v>45747</v>
      </c>
      <c r="O16" s="112">
        <f t="shared" si="3"/>
        <v>6</v>
      </c>
      <c r="P16" s="122">
        <f t="shared" si="4"/>
        <v>-491.27</v>
      </c>
      <c r="R16" s="123"/>
      <c r="S16" s="295"/>
    </row>
    <row r="17" spans="2:19" x14ac:dyDescent="0.25">
      <c r="B17" s="117">
        <v>45742</v>
      </c>
      <c r="C17" s="111">
        <v>45773</v>
      </c>
      <c r="D17" s="112">
        <v>30</v>
      </c>
      <c r="E17" s="111">
        <v>45775</v>
      </c>
      <c r="F17" s="122">
        <v>91487.13</v>
      </c>
      <c r="G17" s="122">
        <v>14832454.380000001</v>
      </c>
      <c r="H17" s="122">
        <f t="shared" si="5"/>
        <v>26370.270000001416</v>
      </c>
      <c r="I17" s="122">
        <v>67116.86</v>
      </c>
      <c r="J17" s="118">
        <f t="shared" si="0"/>
        <v>5.4300000000000001E-2</v>
      </c>
      <c r="K17" s="254">
        <f>'Dettes - CORRA'!E15</f>
        <v>2.7174609090909095E-2</v>
      </c>
      <c r="L17" s="121">
        <f t="shared" si="6"/>
        <v>61112.933440424269</v>
      </c>
      <c r="M17" s="121">
        <f t="shared" si="7"/>
        <v>-6003.9265595757315</v>
      </c>
      <c r="N17" s="117">
        <v>45777</v>
      </c>
      <c r="O17" s="112">
        <f t="shared" si="3"/>
        <v>5</v>
      </c>
      <c r="P17" s="122">
        <f t="shared" si="4"/>
        <v>-847.42</v>
      </c>
      <c r="S17" s="295"/>
    </row>
    <row r="18" spans="2:19" x14ac:dyDescent="0.25">
      <c r="B18" s="117">
        <v>45773</v>
      </c>
      <c r="C18" s="111">
        <v>45803</v>
      </c>
      <c r="D18" s="112">
        <v>30</v>
      </c>
      <c r="E18" s="111">
        <v>45803</v>
      </c>
      <c r="F18" s="122">
        <v>91487.12</v>
      </c>
      <c r="G18" s="122">
        <v>14806084.109999999</v>
      </c>
      <c r="H18" s="122">
        <f t="shared" si="5"/>
        <v>22480.539999999106</v>
      </c>
      <c r="I18" s="122">
        <v>67006.58</v>
      </c>
      <c r="J18" s="118">
        <f t="shared" si="0"/>
        <v>5.4300000000000001E-2</v>
      </c>
      <c r="K18" s="254">
        <f>'Dettes - CORRA'!E16</f>
        <v>2.5583700000000015E-2</v>
      </c>
      <c r="L18" s="121">
        <f t="shared" si="6"/>
        <v>59068.24380532802</v>
      </c>
      <c r="M18" s="121">
        <f t="shared" si="7"/>
        <v>-7938.3361946719815</v>
      </c>
      <c r="N18" s="117">
        <v>45808</v>
      </c>
      <c r="O18" s="112">
        <f t="shared" si="3"/>
        <v>6</v>
      </c>
      <c r="P18" s="122">
        <f t="shared" si="4"/>
        <v>-1402.3</v>
      </c>
      <c r="S18" s="295"/>
    </row>
    <row r="19" spans="2:19" x14ac:dyDescent="0.25">
      <c r="B19" s="117">
        <v>45803</v>
      </c>
      <c r="C19" s="111">
        <v>45834</v>
      </c>
      <c r="D19" s="112">
        <v>30</v>
      </c>
      <c r="E19" s="111">
        <v>45834</v>
      </c>
      <c r="F19" s="122">
        <v>91487.13</v>
      </c>
      <c r="G19" s="122">
        <v>14783603.57</v>
      </c>
      <c r="H19" s="122">
        <f t="shared" si="5"/>
        <v>24591.320000000298</v>
      </c>
      <c r="I19" s="122">
        <v>66895.81</v>
      </c>
      <c r="J19" s="118">
        <f t="shared" si="0"/>
        <v>5.4300000000000001E-2</v>
      </c>
      <c r="K19" s="254">
        <f>'Dettes - CORRA'!E17</f>
        <v>2.3809506451612915E-2</v>
      </c>
      <c r="L19" s="121">
        <f t="shared" si="6"/>
        <v>56822.752557228639</v>
      </c>
      <c r="M19" s="121">
        <f t="shared" si="7"/>
        <v>-10073.057442771358</v>
      </c>
      <c r="N19" s="117">
        <v>45838</v>
      </c>
      <c r="O19" s="112">
        <f t="shared" si="3"/>
        <v>5</v>
      </c>
      <c r="P19" s="122">
        <f t="shared" si="4"/>
        <v>-1526.11</v>
      </c>
      <c r="S19" s="295"/>
    </row>
    <row r="20" spans="2:19" x14ac:dyDescent="0.25">
      <c r="B20" s="117">
        <v>45834</v>
      </c>
      <c r="C20" s="111">
        <v>45864</v>
      </c>
      <c r="D20" s="112">
        <v>30</v>
      </c>
      <c r="E20" s="111">
        <v>45866</v>
      </c>
      <c r="F20" s="122">
        <v>91487.12</v>
      </c>
      <c r="G20" s="122">
        <v>14759012.25</v>
      </c>
      <c r="H20" s="122">
        <f t="shared" si="5"/>
        <v>24702.599999999627</v>
      </c>
      <c r="I20" s="122">
        <v>66784.53</v>
      </c>
      <c r="J20" s="118">
        <f t="shared" si="0"/>
        <v>5.4300000000000001E-2</v>
      </c>
      <c r="K20" s="254">
        <f>'Dettes - CORRA'!E18</f>
        <v>2.3083700000000013E-2</v>
      </c>
      <c r="L20" s="121">
        <f t="shared" si="6"/>
        <v>55847.778868800015</v>
      </c>
      <c r="M20" s="121">
        <f t="shared" si="7"/>
        <v>-10936.751131199984</v>
      </c>
      <c r="N20" s="117">
        <v>45869</v>
      </c>
      <c r="O20" s="112">
        <f t="shared" si="3"/>
        <v>6</v>
      </c>
      <c r="P20" s="122">
        <f t="shared" si="4"/>
        <v>-2004.38</v>
      </c>
      <c r="S20" s="295"/>
    </row>
    <row r="21" spans="2:19" x14ac:dyDescent="0.25">
      <c r="B21" s="117">
        <v>45864</v>
      </c>
      <c r="C21" s="111">
        <v>45895</v>
      </c>
      <c r="D21" s="112">
        <v>30</v>
      </c>
      <c r="E21" s="111">
        <v>45895</v>
      </c>
      <c r="F21" s="122">
        <v>91487.12</v>
      </c>
      <c r="G21" s="122">
        <v>14734309.65</v>
      </c>
      <c r="H21" s="122">
        <f t="shared" si="5"/>
        <v>24814.370000001043</v>
      </c>
      <c r="I21" s="122">
        <v>66672.75</v>
      </c>
      <c r="J21" s="118">
        <f t="shared" si="0"/>
        <v>5.4300000000000001E-2</v>
      </c>
      <c r="K21" s="254">
        <f>'Dettes - CORRA'!E19</f>
        <v>2.3083700000000019E-2</v>
      </c>
      <c r="L21" s="121">
        <f t="shared" si="6"/>
        <v>55754.304771826879</v>
      </c>
      <c r="M21" s="121">
        <f t="shared" si="7"/>
        <v>-10918.445228173121</v>
      </c>
      <c r="N21" s="117">
        <v>45900</v>
      </c>
      <c r="O21" s="112">
        <f t="shared" si="3"/>
        <v>6</v>
      </c>
      <c r="P21" s="122">
        <f t="shared" si="4"/>
        <v>-2001.02</v>
      </c>
      <c r="S21" s="295"/>
    </row>
    <row r="22" spans="2:19" x14ac:dyDescent="0.25">
      <c r="B22" s="117">
        <v>45895</v>
      </c>
      <c r="C22" s="111">
        <v>45926</v>
      </c>
      <c r="D22" s="112">
        <v>30</v>
      </c>
      <c r="E22" s="111">
        <v>45926</v>
      </c>
      <c r="F22" s="122">
        <v>91487.13</v>
      </c>
      <c r="G22" s="122">
        <v>14709495.279999999</v>
      </c>
      <c r="H22" s="122">
        <f t="shared" si="5"/>
        <v>24926.660000000149</v>
      </c>
      <c r="I22" s="122">
        <v>66560.47</v>
      </c>
      <c r="J22" s="118">
        <f t="shared" si="0"/>
        <v>5.4300000000000001E-2</v>
      </c>
      <c r="K22" s="254">
        <f>'Dettes - CORRA'!E20</f>
        <v>2.3083700000000013E-2</v>
      </c>
      <c r="L22" s="121">
        <f t="shared" si="6"/>
        <v>55660.407739623472</v>
      </c>
      <c r="M22" s="121">
        <f t="shared" si="7"/>
        <v>-10900.06226037653</v>
      </c>
      <c r="N22" s="117">
        <v>45930</v>
      </c>
      <c r="O22" s="112">
        <f t="shared" si="3"/>
        <v>5</v>
      </c>
      <c r="P22" s="122">
        <f t="shared" si="4"/>
        <v>-1664.71</v>
      </c>
      <c r="S22" s="295"/>
    </row>
    <row r="23" spans="2:19" x14ac:dyDescent="0.25">
      <c r="B23" s="117">
        <v>45926</v>
      </c>
      <c r="C23" s="111">
        <v>45956</v>
      </c>
      <c r="D23" s="112">
        <v>30</v>
      </c>
      <c r="E23" s="111">
        <v>45957</v>
      </c>
      <c r="F23" s="122">
        <v>91487.12</v>
      </c>
      <c r="G23" s="122">
        <v>14684568.619999999</v>
      </c>
      <c r="H23" s="122">
        <f t="shared" si="5"/>
        <v>25039.449999999255</v>
      </c>
      <c r="I23" s="122">
        <v>66447.67</v>
      </c>
      <c r="J23" s="118">
        <f t="shared" si="0"/>
        <v>5.4300000000000001E-2</v>
      </c>
      <c r="K23" s="254">
        <f>'Dettes - CORRA'!E21</f>
        <v>2.3083700000000013E-2</v>
      </c>
      <c r="L23" s="121">
        <f t="shared" si="6"/>
        <v>55566.085804521223</v>
      </c>
      <c r="M23" s="121">
        <f t="shared" si="7"/>
        <v>-10881.584195478776</v>
      </c>
      <c r="N23" s="117">
        <v>45961</v>
      </c>
      <c r="O23" s="112">
        <f t="shared" si="3"/>
        <v>6</v>
      </c>
      <c r="P23" s="122">
        <f t="shared" si="4"/>
        <v>-1994.27</v>
      </c>
      <c r="S23" s="295"/>
    </row>
    <row r="24" spans="2:19" x14ac:dyDescent="0.25">
      <c r="B24" s="117">
        <v>45956</v>
      </c>
      <c r="C24" s="111">
        <v>45987</v>
      </c>
      <c r="D24" s="112">
        <v>30</v>
      </c>
      <c r="E24" s="111">
        <v>45987</v>
      </c>
      <c r="F24" s="122">
        <v>91487.13</v>
      </c>
      <c r="G24" s="122">
        <v>14659529.17</v>
      </c>
      <c r="H24" s="122">
        <f t="shared" si="5"/>
        <v>25152.759999999776</v>
      </c>
      <c r="I24" s="122">
        <v>66334.37</v>
      </c>
      <c r="J24" s="118">
        <f t="shared" si="0"/>
        <v>5.4300000000000001E-2</v>
      </c>
      <c r="K24" s="254">
        <f>'Dettes - CORRA'!E22</f>
        <v>2.3083700000000019E-2</v>
      </c>
      <c r="L24" s="121">
        <f t="shared" si="6"/>
        <v>55471.337074531097</v>
      </c>
      <c r="M24" s="121">
        <f t="shared" si="7"/>
        <v>-10863.032925468899</v>
      </c>
      <c r="N24" s="117">
        <v>45991</v>
      </c>
      <c r="O24" s="112">
        <f t="shared" si="3"/>
        <v>5</v>
      </c>
      <c r="P24" s="122">
        <f t="shared" si="4"/>
        <v>-1659.06</v>
      </c>
      <c r="S24" s="295"/>
    </row>
    <row r="25" spans="2:19" x14ac:dyDescent="0.25">
      <c r="B25" s="117">
        <v>45987</v>
      </c>
      <c r="C25" s="111">
        <v>46017</v>
      </c>
      <c r="D25" s="112">
        <v>30</v>
      </c>
      <c r="E25" s="111">
        <v>46020</v>
      </c>
      <c r="F25" s="122">
        <v>91487.12</v>
      </c>
      <c r="G25" s="122">
        <v>14634376.41</v>
      </c>
      <c r="H25" s="122">
        <f t="shared" si="5"/>
        <v>25266.570000000298</v>
      </c>
      <c r="I25" s="122">
        <v>66220.55</v>
      </c>
      <c r="J25" s="118">
        <f t="shared" si="0"/>
        <v>5.4300000000000001E-2</v>
      </c>
      <c r="K25" s="254">
        <f>'Dettes - CORRA'!E23</f>
        <v>2.3083700000000013E-2</v>
      </c>
      <c r="L25" s="121">
        <f t="shared" si="6"/>
        <v>55376.159581984459</v>
      </c>
      <c r="M25" s="121">
        <f t="shared" si="7"/>
        <v>-10844.390418015544</v>
      </c>
      <c r="N25" s="117">
        <v>46022</v>
      </c>
      <c r="O25" s="112">
        <f t="shared" si="3"/>
        <v>6</v>
      </c>
      <c r="P25" s="122">
        <f t="shared" si="4"/>
        <v>-1987.45</v>
      </c>
      <c r="S25" s="295"/>
    </row>
    <row r="26" spans="2:19" x14ac:dyDescent="0.25">
      <c r="B26" s="117">
        <v>46017</v>
      </c>
      <c r="C26" s="111">
        <v>46048</v>
      </c>
      <c r="D26" s="112">
        <v>30</v>
      </c>
      <c r="E26" s="111">
        <v>46048</v>
      </c>
      <c r="F26" s="122">
        <v>91487.12</v>
      </c>
      <c r="G26" s="122">
        <v>14609109.84</v>
      </c>
      <c r="H26" s="122">
        <f t="shared" si="5"/>
        <v>25380.900000000373</v>
      </c>
      <c r="I26" s="122">
        <v>66106.22</v>
      </c>
      <c r="J26" s="118">
        <f t="shared" si="0"/>
        <v>5.4300000000000001E-2</v>
      </c>
      <c r="K26" s="254">
        <f>'Dettes - CORRA'!E24</f>
        <v>2.3083700000000023E-2</v>
      </c>
      <c r="L26" s="121">
        <f t="shared" ref="L26:L37" si="8">G26*(K26+$C$4)*D26/365</f>
        <v>55280.551434892302</v>
      </c>
      <c r="M26" s="121">
        <f t="shared" ref="M26:M37" si="9">L26-I26</f>
        <v>-10825.668565107699</v>
      </c>
      <c r="N26" s="117">
        <v>46053</v>
      </c>
      <c r="O26" s="112">
        <f t="shared" si="3"/>
        <v>6</v>
      </c>
      <c r="P26" s="122">
        <f t="shared" si="4"/>
        <v>-1984.02</v>
      </c>
    </row>
    <row r="27" spans="2:19" x14ac:dyDescent="0.25">
      <c r="B27" s="117">
        <v>46048</v>
      </c>
      <c r="C27" s="111">
        <v>46079</v>
      </c>
      <c r="D27" s="112">
        <v>30</v>
      </c>
      <c r="E27" s="111">
        <v>46079</v>
      </c>
      <c r="F27" s="122">
        <v>91487.12</v>
      </c>
      <c r="G27" s="122">
        <v>14583728.939999999</v>
      </c>
      <c r="H27" s="122">
        <f t="shared" si="5"/>
        <v>25495.75</v>
      </c>
      <c r="I27" s="122">
        <v>65991.37</v>
      </c>
      <c r="J27" s="118">
        <f t="shared" si="0"/>
        <v>5.4300000000000001E-2</v>
      </c>
      <c r="K27" s="254">
        <f>'Dettes - CORRA'!E25</f>
        <v>2.3083700000000013E-2</v>
      </c>
      <c r="L27" s="121">
        <f t="shared" si="8"/>
        <v>55184.510665585985</v>
      </c>
      <c r="M27" s="121">
        <f t="shared" si="9"/>
        <v>-10806.85933441401</v>
      </c>
      <c r="N27" s="117">
        <v>46081</v>
      </c>
      <c r="O27" s="112">
        <f t="shared" si="3"/>
        <v>3</v>
      </c>
      <c r="P27" s="122">
        <f t="shared" si="4"/>
        <v>-990.29</v>
      </c>
    </row>
    <row r="28" spans="2:19" x14ac:dyDescent="0.25">
      <c r="B28" s="117">
        <v>46079</v>
      </c>
      <c r="C28" s="111">
        <v>46107</v>
      </c>
      <c r="D28" s="112">
        <v>30</v>
      </c>
      <c r="E28" s="111">
        <v>46107</v>
      </c>
      <c r="F28" s="122">
        <v>91487.13</v>
      </c>
      <c r="G28" s="122">
        <v>14558233.189999999</v>
      </c>
      <c r="H28" s="122">
        <f t="shared" si="5"/>
        <v>25611.11999999918</v>
      </c>
      <c r="I28" s="122">
        <v>65876.009999999995</v>
      </c>
      <c r="J28" s="118">
        <f t="shared" si="0"/>
        <v>5.4300000000000001E-2</v>
      </c>
      <c r="K28" s="254">
        <f>'Dettes - CORRA'!E26</f>
        <v>2.3083700000000023E-2</v>
      </c>
      <c r="L28" s="121">
        <f t="shared" si="8"/>
        <v>55088.03530639696</v>
      </c>
      <c r="M28" s="121">
        <f t="shared" si="9"/>
        <v>-10787.974693603035</v>
      </c>
      <c r="N28" s="117">
        <v>46112</v>
      </c>
      <c r="O28" s="112">
        <f t="shared" si="3"/>
        <v>6</v>
      </c>
      <c r="P28" s="122">
        <f t="shared" si="4"/>
        <v>-1977.11</v>
      </c>
    </row>
    <row r="29" spans="2:19" x14ac:dyDescent="0.25">
      <c r="B29" s="117">
        <v>46107</v>
      </c>
      <c r="C29" s="111">
        <v>46138</v>
      </c>
      <c r="D29" s="112">
        <v>30</v>
      </c>
      <c r="E29" s="111">
        <v>46139</v>
      </c>
      <c r="F29" s="122">
        <v>91487.12</v>
      </c>
      <c r="G29" s="122">
        <v>14532622.07</v>
      </c>
      <c r="H29" s="122">
        <f t="shared" si="5"/>
        <v>25727.019999999553</v>
      </c>
      <c r="I29" s="122">
        <v>65760.11</v>
      </c>
      <c r="J29" s="118">
        <f t="shared" si="0"/>
        <v>5.4300000000000001E-2</v>
      </c>
      <c r="K29" s="254">
        <f>'Dettes - CORRA'!E27</f>
        <v>2.3083700000000013E-2</v>
      </c>
      <c r="L29" s="121">
        <f t="shared" si="8"/>
        <v>54991.123389656568</v>
      </c>
      <c r="M29" s="121">
        <f t="shared" si="9"/>
        <v>-10768.986610343432</v>
      </c>
      <c r="N29" s="117">
        <v>46142</v>
      </c>
      <c r="O29" s="112">
        <f t="shared" si="3"/>
        <v>5</v>
      </c>
      <c r="P29" s="122">
        <f t="shared" si="4"/>
        <v>-1644.69</v>
      </c>
    </row>
    <row r="30" spans="2:19" x14ac:dyDescent="0.25">
      <c r="B30" s="117">
        <v>46138</v>
      </c>
      <c r="C30" s="111">
        <v>46168</v>
      </c>
      <c r="D30" s="112">
        <v>30</v>
      </c>
      <c r="E30" s="111">
        <v>46168</v>
      </c>
      <c r="F30" s="122">
        <v>91487.13</v>
      </c>
      <c r="G30" s="122">
        <v>14506895.050000001</v>
      </c>
      <c r="H30" s="122">
        <f t="shared" si="5"/>
        <v>25843.419999999925</v>
      </c>
      <c r="I30" s="122">
        <v>65643.7</v>
      </c>
      <c r="J30" s="118">
        <f t="shared" si="0"/>
        <v>5.4300000000000001E-2</v>
      </c>
      <c r="K30" s="254">
        <f>'Dettes - CORRA'!E28</f>
        <v>2.3083700000000019E-2</v>
      </c>
      <c r="L30" s="121">
        <f t="shared" si="8"/>
        <v>54893.772909856467</v>
      </c>
      <c r="M30" s="121">
        <f t="shared" si="9"/>
        <v>-10749.92709014353</v>
      </c>
      <c r="N30" s="117">
        <v>46173</v>
      </c>
      <c r="O30" s="112">
        <f t="shared" si="3"/>
        <v>6</v>
      </c>
      <c r="P30" s="122">
        <f t="shared" si="4"/>
        <v>-1970.14</v>
      </c>
    </row>
    <row r="31" spans="2:19" x14ac:dyDescent="0.25">
      <c r="B31" s="117">
        <v>46168</v>
      </c>
      <c r="C31" s="111">
        <v>46199</v>
      </c>
      <c r="D31" s="112">
        <v>30</v>
      </c>
      <c r="E31" s="111">
        <v>46199</v>
      </c>
      <c r="F31" s="122">
        <v>91487.13</v>
      </c>
      <c r="G31" s="122">
        <v>14481051.630000001</v>
      </c>
      <c r="H31" s="122">
        <f t="shared" si="5"/>
        <v>25960.370000001043</v>
      </c>
      <c r="I31" s="122">
        <v>65526.75</v>
      </c>
      <c r="J31" s="118">
        <f t="shared" si="0"/>
        <v>5.4300000000000001E-2</v>
      </c>
      <c r="K31" s="254">
        <f>'Dettes - CORRA'!E29</f>
        <v>2.3083700000000013E-2</v>
      </c>
      <c r="L31" s="121">
        <f t="shared" si="8"/>
        <v>54795.981975007577</v>
      </c>
      <c r="M31" s="121">
        <f t="shared" si="9"/>
        <v>-10730.768024992423</v>
      </c>
      <c r="N31" s="117">
        <v>46203</v>
      </c>
      <c r="O31" s="112">
        <f t="shared" si="3"/>
        <v>5</v>
      </c>
      <c r="P31" s="122">
        <f t="shared" si="4"/>
        <v>-1638.86</v>
      </c>
    </row>
    <row r="32" spans="2:19" x14ac:dyDescent="0.25">
      <c r="B32" s="117">
        <v>46199</v>
      </c>
      <c r="C32" s="111">
        <v>46229</v>
      </c>
      <c r="D32" s="112">
        <v>30</v>
      </c>
      <c r="E32" s="111">
        <v>46230</v>
      </c>
      <c r="F32" s="122">
        <v>91487.13</v>
      </c>
      <c r="G32" s="122">
        <v>14455091.26</v>
      </c>
      <c r="H32" s="122">
        <f t="shared" si="5"/>
        <v>26077.830000000075</v>
      </c>
      <c r="I32" s="122">
        <v>65409.29</v>
      </c>
      <c r="J32" s="118">
        <f t="shared" si="0"/>
        <v>5.4300000000000001E-2</v>
      </c>
      <c r="K32" s="254">
        <f>'Dettes - CORRA'!E30</f>
        <v>2.3083700000000019E-2</v>
      </c>
      <c r="L32" s="121">
        <f t="shared" si="8"/>
        <v>54697.748503921997</v>
      </c>
      <c r="M32" s="121">
        <f t="shared" si="9"/>
        <v>-10711.541496078004</v>
      </c>
      <c r="N32" s="117">
        <v>46234</v>
      </c>
      <c r="O32" s="112">
        <f t="shared" si="3"/>
        <v>6</v>
      </c>
      <c r="P32" s="122">
        <f t="shared" si="4"/>
        <v>-1963.1</v>
      </c>
    </row>
    <row r="33" spans="1:16" x14ac:dyDescent="0.25">
      <c r="B33" s="117">
        <v>46229</v>
      </c>
      <c r="C33" s="111">
        <v>46260</v>
      </c>
      <c r="D33" s="112">
        <v>30</v>
      </c>
      <c r="E33" s="111">
        <v>46260</v>
      </c>
      <c r="F33" s="122">
        <v>91487.13</v>
      </c>
      <c r="G33" s="122">
        <v>14429013.43</v>
      </c>
      <c r="H33" s="122">
        <f t="shared" si="5"/>
        <v>26195.839999999851</v>
      </c>
      <c r="I33" s="122">
        <v>65291.29</v>
      </c>
      <c r="J33" s="118">
        <f t="shared" si="0"/>
        <v>5.4300000000000001E-2</v>
      </c>
      <c r="K33" s="254">
        <f>'Dettes - CORRA'!E31</f>
        <v>2.3083700000000019E-2</v>
      </c>
      <c r="L33" s="121">
        <f t="shared" si="8"/>
        <v>54599.070566770875</v>
      </c>
      <c r="M33" s="121">
        <f t="shared" si="9"/>
        <v>-10692.219433229126</v>
      </c>
      <c r="N33" s="117">
        <v>46265</v>
      </c>
      <c r="O33" s="112">
        <f t="shared" si="3"/>
        <v>6</v>
      </c>
      <c r="P33" s="122">
        <f t="shared" si="4"/>
        <v>-1959.56</v>
      </c>
    </row>
    <row r="34" spans="1:16" x14ac:dyDescent="0.25">
      <c r="B34" s="117">
        <v>46260</v>
      </c>
      <c r="C34" s="111">
        <v>46291</v>
      </c>
      <c r="D34" s="112">
        <v>30</v>
      </c>
      <c r="E34" s="111">
        <v>46293</v>
      </c>
      <c r="F34" s="122">
        <v>91487.13</v>
      </c>
      <c r="G34" s="122">
        <v>14402817.59</v>
      </c>
      <c r="H34" s="122">
        <f t="shared" si="5"/>
        <v>26314.379999998957</v>
      </c>
      <c r="I34" s="122">
        <v>65172.75</v>
      </c>
      <c r="J34" s="118">
        <f t="shared" si="0"/>
        <v>5.4300000000000001E-2</v>
      </c>
      <c r="K34" s="254">
        <f>'Dettes - CORRA'!E32</f>
        <v>2.3083700000000013E-2</v>
      </c>
      <c r="L34" s="121">
        <f t="shared" si="8"/>
        <v>54499.946082366267</v>
      </c>
      <c r="M34" s="121">
        <f t="shared" si="9"/>
        <v>-10672.803917633733</v>
      </c>
      <c r="N34" s="117">
        <v>46295</v>
      </c>
      <c r="O34" s="112">
        <f t="shared" si="3"/>
        <v>5</v>
      </c>
      <c r="P34" s="122">
        <f t="shared" si="4"/>
        <v>-1630</v>
      </c>
    </row>
    <row r="35" spans="1:16" x14ac:dyDescent="0.25">
      <c r="B35" s="117">
        <v>46291</v>
      </c>
      <c r="C35" s="111">
        <v>46321</v>
      </c>
      <c r="D35" s="112">
        <v>30</v>
      </c>
      <c r="E35" s="111">
        <v>46321</v>
      </c>
      <c r="F35" s="122">
        <v>91487.13</v>
      </c>
      <c r="G35" s="122">
        <v>14376503.210000001</v>
      </c>
      <c r="H35" s="122">
        <f t="shared" si="5"/>
        <v>26433.450000001118</v>
      </c>
      <c r="I35" s="122">
        <v>65053.68</v>
      </c>
      <c r="J35" s="118">
        <f t="shared" si="0"/>
        <v>5.4300000000000001E-2</v>
      </c>
      <c r="K35" s="254">
        <f>'Dettes - CORRA'!E33</f>
        <v>2.3083700000000023E-2</v>
      </c>
      <c r="L35" s="121">
        <f t="shared" si="8"/>
        <v>54400.373045199813</v>
      </c>
      <c r="M35" s="121">
        <f t="shared" si="9"/>
        <v>-10653.306954800188</v>
      </c>
      <c r="N35" s="117">
        <v>46326</v>
      </c>
      <c r="O35" s="112">
        <f t="shared" si="3"/>
        <v>6</v>
      </c>
      <c r="P35" s="122">
        <f t="shared" si="4"/>
        <v>-1952.43</v>
      </c>
    </row>
    <row r="36" spans="1:16" x14ac:dyDescent="0.25">
      <c r="B36" s="117">
        <v>46321</v>
      </c>
      <c r="C36" s="111">
        <v>46352</v>
      </c>
      <c r="D36" s="112">
        <v>30</v>
      </c>
      <c r="E36" s="111">
        <v>46352</v>
      </c>
      <c r="F36" s="122">
        <v>91487.13</v>
      </c>
      <c r="G36" s="122">
        <v>14350069.76</v>
      </c>
      <c r="H36" s="122">
        <f t="shared" si="5"/>
        <v>26553.060000000522</v>
      </c>
      <c r="I36" s="122">
        <v>64934.07</v>
      </c>
      <c r="J36" s="118">
        <f t="shared" si="0"/>
        <v>5.4300000000000001E-2</v>
      </c>
      <c r="K36" s="254">
        <f>'Dettes - CORRA'!E34</f>
        <v>2.3083700000000013E-2</v>
      </c>
      <c r="L36" s="121">
        <f t="shared" si="8"/>
        <v>54300.349449763082</v>
      </c>
      <c r="M36" s="121">
        <f t="shared" si="9"/>
        <v>-10633.720550236918</v>
      </c>
      <c r="N36" s="117">
        <v>46356</v>
      </c>
      <c r="O36" s="112">
        <f t="shared" si="3"/>
        <v>5</v>
      </c>
      <c r="P36" s="122">
        <f t="shared" si="4"/>
        <v>-1624.03</v>
      </c>
    </row>
    <row r="37" spans="1:16" x14ac:dyDescent="0.25">
      <c r="B37" s="117">
        <v>46352</v>
      </c>
      <c r="C37" s="111">
        <v>46382</v>
      </c>
      <c r="D37" s="112">
        <v>30</v>
      </c>
      <c r="E37" s="111">
        <v>46385</v>
      </c>
      <c r="F37" s="122">
        <v>91487.12</v>
      </c>
      <c r="G37" s="122">
        <v>14323516.699999999</v>
      </c>
      <c r="H37" s="122">
        <f t="shared" si="5"/>
        <v>26673.209999999031</v>
      </c>
      <c r="I37" s="122">
        <v>64813.91</v>
      </c>
      <c r="J37" s="118">
        <f t="shared" si="0"/>
        <v>5.4300000000000001E-2</v>
      </c>
      <c r="K37" s="254">
        <f>'Dettes - CORRA'!E35</f>
        <v>2.3083700000000013E-2</v>
      </c>
      <c r="L37" s="121">
        <f t="shared" si="8"/>
        <v>54199.873252707956</v>
      </c>
      <c r="M37" s="121">
        <f t="shared" si="9"/>
        <v>-10614.036747292048</v>
      </c>
      <c r="N37" s="117">
        <v>46387</v>
      </c>
      <c r="O37" s="112">
        <f t="shared" si="3"/>
        <v>6</v>
      </c>
      <c r="P37" s="122">
        <f t="shared" si="4"/>
        <v>-1945.24</v>
      </c>
    </row>
    <row r="38" spans="1:16" x14ac:dyDescent="0.25">
      <c r="B38" s="117">
        <v>46382</v>
      </c>
      <c r="C38" s="111">
        <v>46413</v>
      </c>
      <c r="D38" s="112">
        <v>30</v>
      </c>
      <c r="E38" s="111">
        <v>46413</v>
      </c>
      <c r="F38" s="122">
        <v>91487.13</v>
      </c>
      <c r="G38" s="122">
        <v>14296843.49</v>
      </c>
      <c r="H38" s="122">
        <f t="shared" si="5"/>
        <v>26793.910000000149</v>
      </c>
      <c r="I38" s="122">
        <v>64693.22</v>
      </c>
      <c r="J38" s="118">
        <f t="shared" si="0"/>
        <v>5.4300000000000001E-2</v>
      </c>
      <c r="K38" s="254"/>
      <c r="L38" s="122"/>
      <c r="M38" s="122"/>
      <c r="N38" s="117">
        <v>46418</v>
      </c>
      <c r="O38" s="112">
        <f t="shared" si="3"/>
        <v>6</v>
      </c>
      <c r="P38" s="122" t="e">
        <f t="shared" si="4"/>
        <v>#VALUE!</v>
      </c>
    </row>
    <row r="39" spans="1:16" x14ac:dyDescent="0.25">
      <c r="B39" s="117">
        <v>46413</v>
      </c>
      <c r="C39" s="111">
        <v>46444</v>
      </c>
      <c r="D39" s="112">
        <v>30</v>
      </c>
      <c r="E39" s="111">
        <v>46444</v>
      </c>
      <c r="F39" s="122">
        <v>91487.12</v>
      </c>
      <c r="G39" s="122">
        <v>14270049.58</v>
      </c>
      <c r="H39" s="122">
        <f t="shared" si="5"/>
        <v>26915.150000000373</v>
      </c>
      <c r="I39" s="122">
        <v>64571.97</v>
      </c>
      <c r="J39" s="118">
        <f t="shared" si="0"/>
        <v>5.4300000000000001E-2</v>
      </c>
      <c r="K39" s="254"/>
      <c r="L39" s="122"/>
      <c r="M39" s="122"/>
      <c r="N39" s="117">
        <v>46446</v>
      </c>
      <c r="O39" s="112">
        <f t="shared" si="3"/>
        <v>3</v>
      </c>
      <c r="P39" s="122" t="e">
        <f t="shared" si="4"/>
        <v>#VALUE!</v>
      </c>
    </row>
    <row r="40" spans="1:16" x14ac:dyDescent="0.25">
      <c r="B40" s="117">
        <v>46444</v>
      </c>
      <c r="C40" s="111">
        <v>46472</v>
      </c>
      <c r="D40" s="112">
        <v>30</v>
      </c>
      <c r="E40" s="111">
        <v>46475</v>
      </c>
      <c r="F40" s="122">
        <v>91487.12</v>
      </c>
      <c r="G40" s="122">
        <v>14243134.43</v>
      </c>
      <c r="H40" s="122">
        <f t="shared" si="5"/>
        <v>27036.939999999478</v>
      </c>
      <c r="I40" s="122">
        <v>64450.18</v>
      </c>
      <c r="J40" s="118">
        <f t="shared" si="0"/>
        <v>5.4300000000000001E-2</v>
      </c>
      <c r="K40" s="254"/>
      <c r="L40" s="122"/>
      <c r="M40" s="122"/>
      <c r="N40" s="117">
        <v>46477</v>
      </c>
      <c r="O40" s="112">
        <f t="shared" si="3"/>
        <v>6</v>
      </c>
      <c r="P40" s="122" t="e">
        <f t="shared" si="4"/>
        <v>#VALUE!</v>
      </c>
    </row>
    <row r="41" spans="1:16" x14ac:dyDescent="0.25">
      <c r="B41" s="117">
        <v>46472</v>
      </c>
      <c r="C41" s="111">
        <v>46503</v>
      </c>
      <c r="D41" s="112">
        <v>30</v>
      </c>
      <c r="E41" s="111">
        <v>46503</v>
      </c>
      <c r="F41" s="122">
        <v>91487.12</v>
      </c>
      <c r="G41" s="122">
        <v>14216097.49</v>
      </c>
      <c r="H41" s="122">
        <f t="shared" si="5"/>
        <v>27159.290000000969</v>
      </c>
      <c r="I41" s="122">
        <v>64327.839999999997</v>
      </c>
      <c r="J41" s="118">
        <f t="shared" si="0"/>
        <v>5.4300000000000001E-2</v>
      </c>
      <c r="K41" s="254"/>
      <c r="L41" s="122"/>
      <c r="M41" s="122"/>
      <c r="N41" s="117">
        <v>46507</v>
      </c>
      <c r="O41" s="112">
        <f t="shared" si="3"/>
        <v>5</v>
      </c>
      <c r="P41" s="122" t="e">
        <f t="shared" si="4"/>
        <v>#VALUE!</v>
      </c>
    </row>
    <row r="42" spans="1:16" x14ac:dyDescent="0.25">
      <c r="B42" s="117">
        <v>46503</v>
      </c>
      <c r="C42" s="111">
        <v>46533</v>
      </c>
      <c r="D42" s="112">
        <v>30</v>
      </c>
      <c r="E42" s="111">
        <v>46533</v>
      </c>
      <c r="F42" s="122">
        <v>91487.13</v>
      </c>
      <c r="G42" s="122">
        <v>14188938.199999999</v>
      </c>
      <c r="H42" s="122">
        <f t="shared" si="5"/>
        <v>27282.179999999702</v>
      </c>
      <c r="I42" s="122">
        <v>64204.95</v>
      </c>
      <c r="J42" s="119">
        <f t="shared" si="0"/>
        <v>5.4300000000000001E-2</v>
      </c>
      <c r="K42" s="255"/>
      <c r="L42" s="122"/>
      <c r="M42" s="122"/>
      <c r="N42" s="117">
        <v>46538</v>
      </c>
      <c r="O42" s="112">
        <f t="shared" si="3"/>
        <v>6</v>
      </c>
      <c r="P42" s="122" t="e">
        <f t="shared" si="4"/>
        <v>#VALUE!</v>
      </c>
    </row>
    <row r="43" spans="1:16" ht="13.8" customHeight="1" x14ac:dyDescent="0.25">
      <c r="B43" s="117">
        <v>46533</v>
      </c>
      <c r="C43" s="111">
        <v>46564</v>
      </c>
      <c r="D43" s="112">
        <v>30</v>
      </c>
      <c r="E43" s="111">
        <v>46566</v>
      </c>
      <c r="F43" s="122">
        <v>91487.12</v>
      </c>
      <c r="G43" s="122">
        <v>14161656.02</v>
      </c>
      <c r="H43" s="122">
        <f t="shared" si="5"/>
        <v>27405.629999998957</v>
      </c>
      <c r="I43" s="122">
        <v>64081.49</v>
      </c>
      <c r="J43" s="120">
        <f t="shared" si="0"/>
        <v>5.4300000000000001E-2</v>
      </c>
      <c r="K43" s="256"/>
      <c r="L43" s="122"/>
      <c r="M43" s="122"/>
      <c r="N43" s="117">
        <v>46568</v>
      </c>
      <c r="O43" s="112">
        <f t="shared" si="3"/>
        <v>5</v>
      </c>
      <c r="P43" s="122" t="e">
        <f t="shared" si="4"/>
        <v>#VALUE!</v>
      </c>
    </row>
    <row r="44" spans="1:16" x14ac:dyDescent="0.25">
      <c r="A44" s="226" t="s">
        <v>137</v>
      </c>
      <c r="B44" s="221">
        <v>46564</v>
      </c>
      <c r="C44" s="222">
        <v>46594</v>
      </c>
      <c r="D44" s="223">
        <v>30</v>
      </c>
      <c r="E44" s="222">
        <v>46594</v>
      </c>
      <c r="F44" s="224">
        <v>14198207.869999999</v>
      </c>
      <c r="G44" s="224">
        <v>14134250.390000001</v>
      </c>
      <c r="H44" s="224">
        <f>IF(G44="","",G44-G46)</f>
        <v>27529.640000000596</v>
      </c>
      <c r="I44" s="224">
        <v>63957.48</v>
      </c>
      <c r="J44" s="225">
        <f t="shared" si="0"/>
        <v>5.4300000000000001E-2</v>
      </c>
      <c r="K44" s="255"/>
      <c r="L44" s="224"/>
      <c r="M44" s="224"/>
      <c r="N44" s="221"/>
      <c r="O44" s="223"/>
      <c r="P44" s="224" t="e">
        <f t="shared" si="4"/>
        <v>#VALUE!</v>
      </c>
    </row>
    <row r="45" spans="1:16" x14ac:dyDescent="0.25">
      <c r="A45" s="226"/>
      <c r="B45" s="227">
        <v>46564</v>
      </c>
      <c r="C45" s="228">
        <v>46594</v>
      </c>
      <c r="D45" s="233">
        <v>30</v>
      </c>
      <c r="E45" s="234">
        <v>46594</v>
      </c>
      <c r="F45" s="122">
        <f>H45+I45</f>
        <v>91487.12</v>
      </c>
      <c r="G45" s="122">
        <v>14134250.390000001</v>
      </c>
      <c r="H45" s="122">
        <v>27529.64</v>
      </c>
      <c r="I45" s="122">
        <v>63957.48</v>
      </c>
      <c r="J45" s="119">
        <f t="shared" si="0"/>
        <v>5.4300000000000001E-2</v>
      </c>
      <c r="K45" s="255"/>
      <c r="L45" s="122"/>
      <c r="M45" s="122"/>
      <c r="N45" s="227">
        <v>46599</v>
      </c>
      <c r="O45" s="233">
        <f t="shared" si="3"/>
        <v>6</v>
      </c>
      <c r="P45" s="122" t="e">
        <f t="shared" si="4"/>
        <v>#VALUE!</v>
      </c>
    </row>
    <row r="46" spans="1:16" x14ac:dyDescent="0.25">
      <c r="A46" s="226" t="s">
        <v>138</v>
      </c>
      <c r="B46" s="227">
        <v>46594</v>
      </c>
      <c r="C46" s="228">
        <v>46625</v>
      </c>
      <c r="D46" s="112">
        <v>30</v>
      </c>
      <c r="E46" s="111">
        <v>46625</v>
      </c>
      <c r="F46" s="122">
        <f>H46+I46</f>
        <v>91487.12</v>
      </c>
      <c r="G46" s="122">
        <v>14106720.75</v>
      </c>
      <c r="H46" s="122">
        <v>27654.21</v>
      </c>
      <c r="I46" s="122">
        <v>63832.91</v>
      </c>
      <c r="J46" s="119">
        <f t="shared" si="0"/>
        <v>5.4300000000000001E-2</v>
      </c>
      <c r="K46" s="255"/>
      <c r="L46" s="122"/>
      <c r="M46" s="122"/>
      <c r="N46" s="227">
        <v>46630</v>
      </c>
      <c r="O46" s="112">
        <f t="shared" si="3"/>
        <v>6</v>
      </c>
      <c r="P46" s="122" t="e">
        <f t="shared" si="4"/>
        <v>#VALUE!</v>
      </c>
    </row>
    <row r="47" spans="1:16" x14ac:dyDescent="0.25">
      <c r="B47" s="227">
        <v>46625</v>
      </c>
      <c r="C47" s="228">
        <v>46656</v>
      </c>
      <c r="D47" s="112">
        <v>30</v>
      </c>
      <c r="E47" s="111">
        <v>46657</v>
      </c>
      <c r="F47" s="122">
        <f t="shared" ref="F47:F110" si="10">H47+I47</f>
        <v>91487.13</v>
      </c>
      <c r="G47" s="122">
        <v>14079066.539999999</v>
      </c>
      <c r="H47" s="122">
        <v>27779.35</v>
      </c>
      <c r="I47" s="122">
        <v>63707.78</v>
      </c>
      <c r="J47" s="119">
        <f t="shared" si="0"/>
        <v>5.4300000000000001E-2</v>
      </c>
      <c r="K47" s="255"/>
      <c r="L47" s="122"/>
      <c r="M47" s="122"/>
      <c r="N47" s="227">
        <v>46660</v>
      </c>
      <c r="O47" s="112">
        <f t="shared" si="3"/>
        <v>5</v>
      </c>
      <c r="P47" s="122" t="e">
        <f t="shared" si="4"/>
        <v>#VALUE!</v>
      </c>
    </row>
    <row r="48" spans="1:16" x14ac:dyDescent="0.25">
      <c r="B48" s="227">
        <v>46656</v>
      </c>
      <c r="C48" s="228">
        <v>46686</v>
      </c>
      <c r="D48" s="232">
        <v>30</v>
      </c>
      <c r="E48" s="111">
        <v>46686</v>
      </c>
      <c r="F48" s="122">
        <f t="shared" si="10"/>
        <v>91487.12</v>
      </c>
      <c r="G48" s="122">
        <v>14051289.189999999</v>
      </c>
      <c r="H48" s="122">
        <v>27905.05</v>
      </c>
      <c r="I48" s="122">
        <v>63582.07</v>
      </c>
      <c r="J48" s="119">
        <f t="shared" si="0"/>
        <v>5.4300000000000001E-2</v>
      </c>
      <c r="K48" s="255"/>
      <c r="L48" s="122"/>
      <c r="M48" s="122"/>
      <c r="N48" s="227">
        <v>46691</v>
      </c>
      <c r="O48" s="232">
        <f>N48-C48+1</f>
        <v>6</v>
      </c>
      <c r="P48" s="122" t="e">
        <f t="shared" si="4"/>
        <v>#VALUE!</v>
      </c>
    </row>
    <row r="49" spans="2:16" x14ac:dyDescent="0.25">
      <c r="B49" s="227">
        <v>46686</v>
      </c>
      <c r="C49" s="227">
        <v>46717</v>
      </c>
      <c r="D49" s="112">
        <v>30</v>
      </c>
      <c r="E49" s="111">
        <v>46717</v>
      </c>
      <c r="F49" s="122">
        <f t="shared" si="10"/>
        <v>91487.12</v>
      </c>
      <c r="G49" s="122">
        <v>14023382.140000001</v>
      </c>
      <c r="H49" s="122">
        <v>28031.32</v>
      </c>
      <c r="I49" s="122">
        <v>63455.8</v>
      </c>
      <c r="J49" s="119">
        <f t="shared" si="0"/>
        <v>5.4300000000000001E-2</v>
      </c>
      <c r="K49" s="255"/>
      <c r="L49" s="122"/>
      <c r="M49" s="122"/>
      <c r="N49" s="227">
        <v>46721</v>
      </c>
      <c r="O49" s="112">
        <f t="shared" si="3"/>
        <v>5</v>
      </c>
      <c r="P49" s="122" t="e">
        <f t="shared" si="4"/>
        <v>#VALUE!</v>
      </c>
    </row>
    <row r="50" spans="2:16" x14ac:dyDescent="0.25">
      <c r="B50" s="227">
        <v>46717</v>
      </c>
      <c r="C50" s="227">
        <v>46747</v>
      </c>
      <c r="D50" s="112">
        <v>30</v>
      </c>
      <c r="E50" s="111">
        <v>46750</v>
      </c>
      <c r="F50" s="122">
        <f t="shared" si="10"/>
        <v>91487.12</v>
      </c>
      <c r="G50" s="122">
        <v>13995350.810000001</v>
      </c>
      <c r="H50" s="122">
        <v>28158.16</v>
      </c>
      <c r="I50" s="122">
        <v>63328.959999999999</v>
      </c>
      <c r="J50" s="119">
        <f t="shared" si="0"/>
        <v>5.4300000000000001E-2</v>
      </c>
      <c r="K50" s="255"/>
      <c r="L50" s="122"/>
      <c r="M50" s="122"/>
      <c r="N50" s="227">
        <v>46752</v>
      </c>
      <c r="O50" s="112">
        <f t="shared" si="3"/>
        <v>6</v>
      </c>
      <c r="P50" s="122" t="e">
        <f t="shared" si="4"/>
        <v>#VALUE!</v>
      </c>
    </row>
    <row r="51" spans="2:16" x14ac:dyDescent="0.25">
      <c r="B51" s="227">
        <v>46747</v>
      </c>
      <c r="C51" s="227">
        <v>46778</v>
      </c>
      <c r="D51" s="232">
        <v>30</v>
      </c>
      <c r="E51" s="111">
        <v>46778</v>
      </c>
      <c r="F51" s="122">
        <f t="shared" si="10"/>
        <v>91487.13</v>
      </c>
      <c r="G51" s="122">
        <v>13967192.65</v>
      </c>
      <c r="H51" s="122">
        <v>28285.58</v>
      </c>
      <c r="I51" s="122">
        <v>63201.55</v>
      </c>
      <c r="J51" s="119">
        <f t="shared" si="0"/>
        <v>5.4300000000000001E-2</v>
      </c>
      <c r="K51" s="255"/>
      <c r="L51" s="122"/>
      <c r="M51" s="122"/>
      <c r="N51" s="227">
        <v>46783</v>
      </c>
      <c r="O51" s="232">
        <f t="shared" si="3"/>
        <v>6</v>
      </c>
      <c r="P51" s="122" t="e">
        <f t="shared" si="4"/>
        <v>#VALUE!</v>
      </c>
    </row>
    <row r="52" spans="2:16" x14ac:dyDescent="0.25">
      <c r="B52" s="227">
        <v>46778</v>
      </c>
      <c r="C52" s="227">
        <v>46809</v>
      </c>
      <c r="D52" s="112">
        <v>30</v>
      </c>
      <c r="E52" s="111">
        <v>46811</v>
      </c>
      <c r="F52" s="122">
        <f t="shared" si="10"/>
        <v>91487.12</v>
      </c>
      <c r="G52" s="122">
        <v>13938907.07</v>
      </c>
      <c r="H52" s="122">
        <v>28413.57</v>
      </c>
      <c r="I52" s="122">
        <v>63073.55</v>
      </c>
      <c r="J52" s="119">
        <f t="shared" si="0"/>
        <v>5.4300000000000001E-2</v>
      </c>
      <c r="K52" s="255"/>
      <c r="L52" s="122"/>
      <c r="M52" s="122"/>
      <c r="N52" s="227">
        <v>46812</v>
      </c>
      <c r="O52" s="112">
        <f t="shared" si="3"/>
        <v>4</v>
      </c>
      <c r="P52" s="122" t="e">
        <f t="shared" si="4"/>
        <v>#VALUE!</v>
      </c>
    </row>
    <row r="53" spans="2:16" x14ac:dyDescent="0.25">
      <c r="B53" s="227">
        <v>46809</v>
      </c>
      <c r="C53" s="227">
        <v>46838</v>
      </c>
      <c r="D53" s="112">
        <v>30</v>
      </c>
      <c r="E53" s="111">
        <v>46839</v>
      </c>
      <c r="F53" s="122">
        <f t="shared" si="10"/>
        <v>91487.12</v>
      </c>
      <c r="G53" s="122">
        <v>13910493.5</v>
      </c>
      <c r="H53" s="122">
        <v>28542.14</v>
      </c>
      <c r="I53" s="122">
        <v>62944.98</v>
      </c>
      <c r="J53" s="119">
        <f t="shared" si="0"/>
        <v>5.4300000000000001E-2</v>
      </c>
      <c r="K53" s="255"/>
      <c r="L53" s="122"/>
      <c r="M53" s="122"/>
      <c r="N53" s="227">
        <v>46843</v>
      </c>
      <c r="O53" s="112">
        <f t="shared" si="3"/>
        <v>6</v>
      </c>
      <c r="P53" s="122" t="e">
        <f t="shared" si="4"/>
        <v>#VALUE!</v>
      </c>
    </row>
    <row r="54" spans="2:16" x14ac:dyDescent="0.25">
      <c r="B54" s="227">
        <v>46838</v>
      </c>
      <c r="C54" s="227">
        <v>46869</v>
      </c>
      <c r="D54" s="232">
        <v>30</v>
      </c>
      <c r="E54" s="111">
        <v>46869</v>
      </c>
      <c r="F54" s="122">
        <f t="shared" si="10"/>
        <v>91487.13</v>
      </c>
      <c r="G54" s="122">
        <v>13881951.359999999</v>
      </c>
      <c r="H54" s="122">
        <v>28671.3</v>
      </c>
      <c r="I54" s="122">
        <v>62815.83</v>
      </c>
      <c r="J54" s="119">
        <f t="shared" si="0"/>
        <v>5.4300000000000001E-2</v>
      </c>
      <c r="K54" s="255"/>
      <c r="L54" s="122"/>
      <c r="M54" s="122"/>
      <c r="N54" s="227">
        <v>46873</v>
      </c>
      <c r="O54" s="232">
        <f t="shared" si="3"/>
        <v>5</v>
      </c>
      <c r="P54" s="122" t="e">
        <f t="shared" si="4"/>
        <v>#VALUE!</v>
      </c>
    </row>
    <row r="55" spans="2:16" x14ac:dyDescent="0.25">
      <c r="B55" s="227">
        <v>46869</v>
      </c>
      <c r="C55" s="227">
        <v>46899</v>
      </c>
      <c r="D55" s="112">
        <v>30</v>
      </c>
      <c r="E55" s="111">
        <v>46899</v>
      </c>
      <c r="F55" s="122">
        <f t="shared" si="10"/>
        <v>91487.12</v>
      </c>
      <c r="G55" s="122">
        <v>13853280.060000001</v>
      </c>
      <c r="H55" s="122">
        <v>28801.03</v>
      </c>
      <c r="I55" s="122">
        <v>62686.09</v>
      </c>
      <c r="J55" s="119">
        <f t="shared" si="0"/>
        <v>5.4300000000000001E-2</v>
      </c>
      <c r="K55" s="255"/>
      <c r="L55" s="122"/>
      <c r="M55" s="122"/>
      <c r="N55" s="227">
        <v>46904</v>
      </c>
      <c r="O55" s="112">
        <f t="shared" si="3"/>
        <v>6</v>
      </c>
      <c r="P55" s="122" t="e">
        <f t="shared" si="4"/>
        <v>#VALUE!</v>
      </c>
    </row>
    <row r="56" spans="2:16" ht="13.8" customHeight="1" x14ac:dyDescent="0.25">
      <c r="B56" s="227">
        <v>46899</v>
      </c>
      <c r="C56" s="227">
        <v>46930</v>
      </c>
      <c r="D56" s="112">
        <v>30</v>
      </c>
      <c r="E56" s="111">
        <v>46931</v>
      </c>
      <c r="F56" s="122">
        <f t="shared" si="10"/>
        <v>91487.13</v>
      </c>
      <c r="G56" s="122">
        <v>13824479.029999999</v>
      </c>
      <c r="H56" s="122">
        <v>28931.360000000001</v>
      </c>
      <c r="I56" s="122">
        <v>62555.77</v>
      </c>
      <c r="J56" s="119">
        <f t="shared" si="0"/>
        <v>5.4300000000000001E-2</v>
      </c>
      <c r="K56" s="255"/>
      <c r="L56" s="122"/>
      <c r="M56" s="122"/>
      <c r="N56" s="227">
        <v>46934</v>
      </c>
      <c r="O56" s="112">
        <f t="shared" si="3"/>
        <v>5</v>
      </c>
      <c r="P56" s="122" t="e">
        <f t="shared" si="4"/>
        <v>#VALUE!</v>
      </c>
    </row>
    <row r="57" spans="2:16" x14ac:dyDescent="0.25">
      <c r="B57" s="227">
        <v>46930</v>
      </c>
      <c r="C57" s="227">
        <v>46960</v>
      </c>
      <c r="D57" s="232">
        <v>30</v>
      </c>
      <c r="E57" s="111">
        <v>46960</v>
      </c>
      <c r="F57" s="122">
        <f t="shared" si="10"/>
        <v>91487.12</v>
      </c>
      <c r="G57" s="122">
        <v>13795547.67</v>
      </c>
      <c r="H57" s="122">
        <v>29062.27</v>
      </c>
      <c r="I57" s="122">
        <v>62424.85</v>
      </c>
      <c r="J57" s="119">
        <f t="shared" si="0"/>
        <v>5.4300000000000001E-2</v>
      </c>
      <c r="K57" s="255"/>
      <c r="L57" s="122"/>
      <c r="M57" s="122"/>
      <c r="N57" s="227">
        <v>46965</v>
      </c>
      <c r="O57" s="232">
        <f t="shared" si="3"/>
        <v>6</v>
      </c>
      <c r="P57" s="122" t="e">
        <f t="shared" si="4"/>
        <v>#VALUE!</v>
      </c>
    </row>
    <row r="58" spans="2:16" x14ac:dyDescent="0.25">
      <c r="B58" s="227">
        <v>46960</v>
      </c>
      <c r="C58" s="227">
        <v>46991</v>
      </c>
      <c r="D58" s="112">
        <v>30</v>
      </c>
      <c r="E58" s="111">
        <v>46993</v>
      </c>
      <c r="F58" s="122">
        <f t="shared" si="10"/>
        <v>91487.13</v>
      </c>
      <c r="G58" s="122">
        <v>13766485.4</v>
      </c>
      <c r="H58" s="122">
        <v>29193.78</v>
      </c>
      <c r="I58" s="122">
        <v>62293.35</v>
      </c>
      <c r="J58" s="119">
        <f t="shared" si="0"/>
        <v>5.4300000000000001E-2</v>
      </c>
      <c r="K58" s="255"/>
      <c r="L58" s="122"/>
      <c r="M58" s="122"/>
      <c r="N58" s="227">
        <v>46996</v>
      </c>
      <c r="O58" s="112">
        <f t="shared" si="3"/>
        <v>6</v>
      </c>
      <c r="P58" s="122" t="e">
        <f t="shared" si="4"/>
        <v>#VALUE!</v>
      </c>
    </row>
    <row r="59" spans="2:16" x14ac:dyDescent="0.25">
      <c r="B59" s="227">
        <v>46991</v>
      </c>
      <c r="C59" s="227">
        <v>47022</v>
      </c>
      <c r="D59" s="112">
        <v>30</v>
      </c>
      <c r="E59" s="111">
        <v>47022</v>
      </c>
      <c r="F59" s="122">
        <f t="shared" si="10"/>
        <v>91487.12</v>
      </c>
      <c r="G59" s="122">
        <v>13737291.619999999</v>
      </c>
      <c r="H59" s="122">
        <v>29325.88</v>
      </c>
      <c r="I59" s="122">
        <v>62161.24</v>
      </c>
      <c r="J59" s="119">
        <f t="shared" si="0"/>
        <v>5.4300000000000001E-2</v>
      </c>
      <c r="K59" s="255"/>
      <c r="L59" s="122"/>
      <c r="M59" s="122"/>
      <c r="N59" s="227">
        <v>47026</v>
      </c>
      <c r="O59" s="112">
        <f t="shared" si="3"/>
        <v>5</v>
      </c>
      <c r="P59" s="122" t="e">
        <f t="shared" si="4"/>
        <v>#VALUE!</v>
      </c>
    </row>
    <row r="60" spans="2:16" x14ac:dyDescent="0.25">
      <c r="B60" s="227">
        <v>47022</v>
      </c>
      <c r="C60" s="227">
        <v>47052</v>
      </c>
      <c r="D60" s="232">
        <v>30</v>
      </c>
      <c r="E60" s="111">
        <v>47052</v>
      </c>
      <c r="F60" s="122">
        <f t="shared" si="10"/>
        <v>91487.12</v>
      </c>
      <c r="G60" s="122">
        <v>13707965.74</v>
      </c>
      <c r="H60" s="122">
        <v>29458.58</v>
      </c>
      <c r="I60" s="122">
        <v>62028.54</v>
      </c>
      <c r="J60" s="119">
        <f t="shared" si="0"/>
        <v>5.4300000000000001E-2</v>
      </c>
      <c r="K60" s="255"/>
      <c r="L60" s="122"/>
      <c r="M60" s="122"/>
      <c r="N60" s="227">
        <v>47057</v>
      </c>
      <c r="O60" s="232">
        <f t="shared" si="3"/>
        <v>6</v>
      </c>
      <c r="P60" s="122" t="e">
        <f t="shared" si="4"/>
        <v>#VALUE!</v>
      </c>
    </row>
    <row r="61" spans="2:16" x14ac:dyDescent="0.25">
      <c r="B61" s="227">
        <v>47052</v>
      </c>
      <c r="C61" s="227">
        <v>47083</v>
      </c>
      <c r="D61" s="112">
        <v>30</v>
      </c>
      <c r="E61" s="111">
        <v>47084</v>
      </c>
      <c r="F61" s="122">
        <f t="shared" si="10"/>
        <v>91487.12</v>
      </c>
      <c r="G61" s="122">
        <v>13678507.16</v>
      </c>
      <c r="H61" s="122">
        <v>29591.88</v>
      </c>
      <c r="I61" s="122">
        <v>61895.24</v>
      </c>
      <c r="J61" s="119">
        <f t="shared" si="0"/>
        <v>5.4300000000000001E-2</v>
      </c>
      <c r="K61" s="255"/>
      <c r="L61" s="122"/>
      <c r="M61" s="122"/>
      <c r="N61" s="227">
        <v>47087</v>
      </c>
      <c r="O61" s="112">
        <f t="shared" si="3"/>
        <v>5</v>
      </c>
      <c r="P61" s="122" t="e">
        <f t="shared" si="4"/>
        <v>#VALUE!</v>
      </c>
    </row>
    <row r="62" spans="2:16" x14ac:dyDescent="0.25">
      <c r="B62" s="227">
        <v>47083</v>
      </c>
      <c r="C62" s="227">
        <v>47113</v>
      </c>
      <c r="D62" s="112">
        <v>30</v>
      </c>
      <c r="E62" s="111">
        <v>47114</v>
      </c>
      <c r="F62" s="122">
        <f t="shared" si="10"/>
        <v>91487.12</v>
      </c>
      <c r="G62" s="122">
        <v>13648915.279999999</v>
      </c>
      <c r="H62" s="122">
        <v>29725.78</v>
      </c>
      <c r="I62" s="122">
        <v>61761.34</v>
      </c>
      <c r="J62" s="119">
        <f t="shared" si="0"/>
        <v>5.4300000000000001E-2</v>
      </c>
      <c r="K62" s="255"/>
      <c r="L62" s="122"/>
      <c r="M62" s="122"/>
      <c r="N62" s="227">
        <v>47118</v>
      </c>
      <c r="O62" s="112">
        <f t="shared" si="3"/>
        <v>6</v>
      </c>
      <c r="P62" s="122" t="e">
        <f t="shared" si="4"/>
        <v>#VALUE!</v>
      </c>
    </row>
    <row r="63" spans="2:16" x14ac:dyDescent="0.25">
      <c r="B63" s="227">
        <v>47113</v>
      </c>
      <c r="C63" s="227">
        <v>47144</v>
      </c>
      <c r="D63" s="232">
        <v>30</v>
      </c>
      <c r="E63" s="111">
        <v>47144</v>
      </c>
      <c r="F63" s="122">
        <f t="shared" si="10"/>
        <v>91487.12</v>
      </c>
      <c r="G63" s="122">
        <v>13619189.5</v>
      </c>
      <c r="H63" s="122">
        <v>29860.29</v>
      </c>
      <c r="I63" s="122">
        <v>61626.83</v>
      </c>
      <c r="J63" s="119">
        <f t="shared" si="0"/>
        <v>5.4300000000000001E-2</v>
      </c>
      <c r="K63" s="255"/>
      <c r="L63" s="122"/>
      <c r="M63" s="122"/>
      <c r="N63" s="227">
        <v>47149</v>
      </c>
      <c r="O63" s="232">
        <f t="shared" si="3"/>
        <v>6</v>
      </c>
      <c r="P63" s="122" t="e">
        <f t="shared" si="4"/>
        <v>#VALUE!</v>
      </c>
    </row>
    <row r="64" spans="2:16" x14ac:dyDescent="0.25">
      <c r="B64" s="227">
        <v>47144</v>
      </c>
      <c r="C64" s="227">
        <v>47175</v>
      </c>
      <c r="D64" s="112">
        <v>30</v>
      </c>
      <c r="E64" s="111">
        <v>47175</v>
      </c>
      <c r="F64" s="122">
        <f t="shared" si="10"/>
        <v>91487.12</v>
      </c>
      <c r="G64" s="122">
        <v>13589329.199999999</v>
      </c>
      <c r="H64" s="122">
        <v>29995.41</v>
      </c>
      <c r="I64" s="122">
        <v>61491.71</v>
      </c>
      <c r="J64" s="119">
        <f t="shared" si="0"/>
        <v>5.4300000000000001E-2</v>
      </c>
      <c r="K64" s="255"/>
      <c r="L64" s="122"/>
      <c r="M64" s="122"/>
      <c r="N64" s="227">
        <v>47177</v>
      </c>
      <c r="O64" s="112">
        <f t="shared" si="3"/>
        <v>3</v>
      </c>
      <c r="P64" s="122" t="e">
        <f t="shared" si="4"/>
        <v>#VALUE!</v>
      </c>
    </row>
    <row r="65" spans="2:16" x14ac:dyDescent="0.25">
      <c r="B65" s="227">
        <v>47175</v>
      </c>
      <c r="C65" s="227">
        <v>47203</v>
      </c>
      <c r="D65" s="112">
        <v>30</v>
      </c>
      <c r="E65" s="111">
        <v>47203</v>
      </c>
      <c r="F65" s="122">
        <f t="shared" si="10"/>
        <v>91487.13</v>
      </c>
      <c r="G65" s="122">
        <v>13559333.789999999</v>
      </c>
      <c r="H65" s="122">
        <v>30131.14</v>
      </c>
      <c r="I65" s="122">
        <v>61355.99</v>
      </c>
      <c r="J65" s="119">
        <f t="shared" si="0"/>
        <v>5.4300000000000001E-2</v>
      </c>
      <c r="K65" s="255"/>
      <c r="L65" s="122"/>
      <c r="M65" s="122"/>
      <c r="N65" s="227">
        <v>47208</v>
      </c>
      <c r="O65" s="112">
        <f t="shared" si="3"/>
        <v>6</v>
      </c>
      <c r="P65" s="122" t="e">
        <f t="shared" si="4"/>
        <v>#VALUE!</v>
      </c>
    </row>
    <row r="66" spans="2:16" x14ac:dyDescent="0.25">
      <c r="B66" s="227">
        <v>47203</v>
      </c>
      <c r="C66" s="227">
        <v>47234</v>
      </c>
      <c r="D66" s="232">
        <v>30</v>
      </c>
      <c r="E66" s="111">
        <v>47234</v>
      </c>
      <c r="F66" s="122">
        <f t="shared" si="10"/>
        <v>91487.12</v>
      </c>
      <c r="G66" s="122">
        <v>13529202.65</v>
      </c>
      <c r="H66" s="122">
        <v>30267.48</v>
      </c>
      <c r="I66" s="122">
        <v>61219.64</v>
      </c>
      <c r="J66" s="119">
        <f t="shared" si="0"/>
        <v>5.4300000000000001E-2</v>
      </c>
      <c r="K66" s="255"/>
      <c r="L66" s="122"/>
      <c r="M66" s="122"/>
      <c r="N66" s="227">
        <v>47238</v>
      </c>
      <c r="O66" s="232">
        <f t="shared" si="3"/>
        <v>5</v>
      </c>
      <c r="P66" s="122" t="e">
        <f t="shared" si="4"/>
        <v>#VALUE!</v>
      </c>
    </row>
    <row r="67" spans="2:16" x14ac:dyDescent="0.25">
      <c r="B67" s="227">
        <v>47234</v>
      </c>
      <c r="C67" s="227">
        <v>47264</v>
      </c>
      <c r="D67" s="112">
        <v>30</v>
      </c>
      <c r="E67" s="111">
        <v>47266</v>
      </c>
      <c r="F67" s="122">
        <f t="shared" si="10"/>
        <v>91487.12</v>
      </c>
      <c r="G67" s="122">
        <v>13498935.17</v>
      </c>
      <c r="H67" s="122">
        <v>30404.44</v>
      </c>
      <c r="I67" s="122">
        <v>61082.68</v>
      </c>
      <c r="J67" s="119">
        <f t="shared" si="0"/>
        <v>5.4300000000000001E-2</v>
      </c>
      <c r="K67" s="255"/>
      <c r="L67" s="122"/>
      <c r="M67" s="122"/>
      <c r="N67" s="227">
        <v>47269</v>
      </c>
      <c r="O67" s="112">
        <f t="shared" si="3"/>
        <v>6</v>
      </c>
      <c r="P67" s="122" t="e">
        <f t="shared" si="4"/>
        <v>#VALUE!</v>
      </c>
    </row>
    <row r="68" spans="2:16" x14ac:dyDescent="0.25">
      <c r="B68" s="227">
        <v>47264</v>
      </c>
      <c r="C68" s="227">
        <v>47295</v>
      </c>
      <c r="D68" s="112">
        <v>30</v>
      </c>
      <c r="E68" s="111">
        <v>47295</v>
      </c>
      <c r="F68" s="122">
        <f t="shared" si="10"/>
        <v>91487.12</v>
      </c>
      <c r="G68" s="122">
        <v>13468530.73</v>
      </c>
      <c r="H68" s="122">
        <v>30542.02</v>
      </c>
      <c r="I68" s="122">
        <v>60945.1</v>
      </c>
      <c r="J68" s="119">
        <f t="shared" si="0"/>
        <v>5.4300000000000001E-2</v>
      </c>
      <c r="K68" s="255"/>
      <c r="L68" s="122"/>
      <c r="M68" s="122"/>
      <c r="N68" s="227">
        <v>47299</v>
      </c>
      <c r="O68" s="112">
        <f t="shared" si="3"/>
        <v>5</v>
      </c>
      <c r="P68" s="122" t="e">
        <f t="shared" si="4"/>
        <v>#VALUE!</v>
      </c>
    </row>
    <row r="69" spans="2:16" ht="13.8" customHeight="1" x14ac:dyDescent="0.25">
      <c r="B69" s="227">
        <v>47295</v>
      </c>
      <c r="C69" s="227">
        <v>47325</v>
      </c>
      <c r="D69" s="232">
        <v>30</v>
      </c>
      <c r="E69" s="111">
        <v>47325</v>
      </c>
      <c r="F69" s="122">
        <f t="shared" si="10"/>
        <v>91487.13</v>
      </c>
      <c r="G69" s="122">
        <v>13437988.699999999</v>
      </c>
      <c r="H69" s="122">
        <v>30680.23</v>
      </c>
      <c r="I69" s="122">
        <v>60806.9</v>
      </c>
      <c r="J69" s="119">
        <f t="shared" si="0"/>
        <v>5.4300000000000001E-2</v>
      </c>
      <c r="K69" s="255"/>
      <c r="L69" s="122"/>
      <c r="M69" s="122"/>
      <c r="N69" s="227">
        <v>47330</v>
      </c>
      <c r="O69" s="232">
        <f t="shared" si="3"/>
        <v>6</v>
      </c>
      <c r="P69" s="122" t="e">
        <f t="shared" si="4"/>
        <v>#VALUE!</v>
      </c>
    </row>
    <row r="70" spans="2:16" x14ac:dyDescent="0.25">
      <c r="B70" s="227">
        <v>47325</v>
      </c>
      <c r="C70" s="227">
        <v>47356</v>
      </c>
      <c r="D70" s="112">
        <v>30</v>
      </c>
      <c r="E70" s="111">
        <v>47357</v>
      </c>
      <c r="F70" s="122">
        <f t="shared" si="10"/>
        <v>91487.12</v>
      </c>
      <c r="G70" s="122">
        <v>13407308.48</v>
      </c>
      <c r="H70" s="122">
        <v>30819.05</v>
      </c>
      <c r="I70" s="122">
        <v>60668.07</v>
      </c>
      <c r="J70" s="119">
        <f t="shared" si="0"/>
        <v>5.4300000000000001E-2</v>
      </c>
      <c r="K70" s="255"/>
      <c r="L70" s="122"/>
      <c r="M70" s="122"/>
      <c r="N70" s="227">
        <v>47361</v>
      </c>
      <c r="O70" s="112">
        <f t="shared" si="3"/>
        <v>6</v>
      </c>
      <c r="P70" s="122" t="e">
        <f t="shared" si="4"/>
        <v>#VALUE!</v>
      </c>
    </row>
    <row r="71" spans="2:16" x14ac:dyDescent="0.25">
      <c r="B71" s="227">
        <v>47356</v>
      </c>
      <c r="C71" s="227">
        <v>47387</v>
      </c>
      <c r="D71" s="112">
        <v>30</v>
      </c>
      <c r="E71" s="111">
        <v>47387</v>
      </c>
      <c r="F71" s="122">
        <f t="shared" si="10"/>
        <v>91487.12</v>
      </c>
      <c r="G71" s="122">
        <v>13376489.42</v>
      </c>
      <c r="H71" s="122">
        <v>30958.51</v>
      </c>
      <c r="I71" s="122">
        <v>60528.61</v>
      </c>
      <c r="J71" s="119">
        <f t="shared" si="0"/>
        <v>5.4300000000000001E-2</v>
      </c>
      <c r="K71" s="255"/>
      <c r="L71" s="122"/>
      <c r="M71" s="122"/>
      <c r="N71" s="227">
        <v>47391</v>
      </c>
      <c r="O71" s="112">
        <f t="shared" si="3"/>
        <v>5</v>
      </c>
      <c r="P71" s="122" t="e">
        <f t="shared" si="4"/>
        <v>#VALUE!</v>
      </c>
    </row>
    <row r="72" spans="2:16" x14ac:dyDescent="0.25">
      <c r="B72" s="227">
        <v>47387</v>
      </c>
      <c r="C72" s="227">
        <v>47417</v>
      </c>
      <c r="D72" s="232">
        <v>30</v>
      </c>
      <c r="E72" s="111">
        <v>47417</v>
      </c>
      <c r="F72" s="122">
        <f t="shared" si="10"/>
        <v>91487.13</v>
      </c>
      <c r="G72" s="122">
        <v>13345530.91</v>
      </c>
      <c r="H72" s="122">
        <v>31098.6</v>
      </c>
      <c r="I72" s="122">
        <v>60388.53</v>
      </c>
      <c r="J72" s="119">
        <f t="shared" si="0"/>
        <v>5.4300000000000001E-2</v>
      </c>
      <c r="K72" s="255"/>
      <c r="L72" s="122"/>
      <c r="M72" s="122"/>
      <c r="N72" s="227">
        <v>47422</v>
      </c>
      <c r="O72" s="232">
        <f t="shared" si="3"/>
        <v>6</v>
      </c>
      <c r="P72" s="122" t="e">
        <f t="shared" si="4"/>
        <v>#VALUE!</v>
      </c>
    </row>
    <row r="73" spans="2:16" x14ac:dyDescent="0.25">
      <c r="B73" s="227">
        <v>47417</v>
      </c>
      <c r="C73" s="227">
        <v>47448</v>
      </c>
      <c r="D73" s="112">
        <v>30</v>
      </c>
      <c r="E73" s="111">
        <v>47448</v>
      </c>
      <c r="F73" s="122">
        <f t="shared" si="10"/>
        <v>91487.13</v>
      </c>
      <c r="G73" s="122">
        <v>13314432.310000001</v>
      </c>
      <c r="H73" s="122">
        <v>31239.32</v>
      </c>
      <c r="I73" s="122">
        <v>60247.81</v>
      </c>
      <c r="J73" s="119">
        <f t="shared" si="0"/>
        <v>5.4300000000000001E-2</v>
      </c>
      <c r="K73" s="255"/>
      <c r="L73" s="122"/>
      <c r="M73" s="122"/>
      <c r="N73" s="227">
        <v>47452</v>
      </c>
      <c r="O73" s="112">
        <f t="shared" si="3"/>
        <v>5</v>
      </c>
      <c r="P73" s="122" t="e">
        <f t="shared" si="4"/>
        <v>#VALUE!</v>
      </c>
    </row>
    <row r="74" spans="2:16" x14ac:dyDescent="0.25">
      <c r="B74" s="227">
        <v>47448</v>
      </c>
      <c r="C74" s="227">
        <v>47478</v>
      </c>
      <c r="D74" s="112">
        <v>30</v>
      </c>
      <c r="E74" s="111">
        <v>47479</v>
      </c>
      <c r="F74" s="122">
        <f t="shared" si="10"/>
        <v>91487.13</v>
      </c>
      <c r="G74" s="122">
        <v>13283192.99</v>
      </c>
      <c r="H74" s="122">
        <v>31380.68</v>
      </c>
      <c r="I74" s="122">
        <v>60106.45</v>
      </c>
      <c r="J74" s="119">
        <f t="shared" ref="J74:J128" si="11">$C$5</f>
        <v>5.4300000000000001E-2</v>
      </c>
      <c r="K74" s="255"/>
      <c r="L74" s="122"/>
      <c r="M74" s="122"/>
      <c r="N74" s="227">
        <v>47483</v>
      </c>
      <c r="O74" s="112">
        <f t="shared" si="3"/>
        <v>6</v>
      </c>
      <c r="P74" s="122" t="e">
        <f t="shared" si="4"/>
        <v>#VALUE!</v>
      </c>
    </row>
    <row r="75" spans="2:16" x14ac:dyDescent="0.25">
      <c r="B75" s="227">
        <v>47478</v>
      </c>
      <c r="C75" s="227">
        <v>47509</v>
      </c>
      <c r="D75" s="232">
        <v>30</v>
      </c>
      <c r="E75" s="111">
        <v>47511</v>
      </c>
      <c r="F75" s="122">
        <f t="shared" si="10"/>
        <v>91487.12</v>
      </c>
      <c r="G75" s="122">
        <v>13251812.32</v>
      </c>
      <c r="H75" s="122">
        <v>31522.67</v>
      </c>
      <c r="I75" s="122">
        <v>59964.45</v>
      </c>
      <c r="J75" s="119">
        <f t="shared" si="11"/>
        <v>5.4300000000000001E-2</v>
      </c>
      <c r="K75" s="255"/>
      <c r="L75" s="122"/>
      <c r="M75" s="122"/>
      <c r="N75" s="227">
        <v>47514</v>
      </c>
      <c r="O75" s="232">
        <f t="shared" ref="O75:O128" si="12">N75-C75+1</f>
        <v>6</v>
      </c>
      <c r="P75" s="122" t="e">
        <f t="shared" ref="P75:P128" si="13">-IF(K75="","",ROUND(G75*($C$3-K75)*O75/365,2))</f>
        <v>#VALUE!</v>
      </c>
    </row>
    <row r="76" spans="2:16" x14ac:dyDescent="0.25">
      <c r="B76" s="227">
        <v>47509</v>
      </c>
      <c r="C76" s="227">
        <v>47540</v>
      </c>
      <c r="D76" s="112">
        <v>30</v>
      </c>
      <c r="E76" s="111">
        <v>47540</v>
      </c>
      <c r="F76" s="122">
        <f t="shared" si="10"/>
        <v>91487.12</v>
      </c>
      <c r="G76" s="122">
        <v>13220289.640000001</v>
      </c>
      <c r="H76" s="122">
        <v>31665.31</v>
      </c>
      <c r="I76" s="122">
        <v>59821.81</v>
      </c>
      <c r="J76" s="119">
        <f t="shared" si="11"/>
        <v>5.4300000000000001E-2</v>
      </c>
      <c r="K76" s="255"/>
      <c r="L76" s="122"/>
      <c r="M76" s="122"/>
      <c r="N76" s="227">
        <v>47542</v>
      </c>
      <c r="O76" s="112">
        <f t="shared" si="12"/>
        <v>3</v>
      </c>
      <c r="P76" s="122" t="e">
        <f t="shared" si="13"/>
        <v>#VALUE!</v>
      </c>
    </row>
    <row r="77" spans="2:16" x14ac:dyDescent="0.25">
      <c r="B77" s="227">
        <v>47540</v>
      </c>
      <c r="C77" s="227">
        <v>47568</v>
      </c>
      <c r="D77" s="112">
        <v>30</v>
      </c>
      <c r="E77" s="111">
        <v>47568</v>
      </c>
      <c r="F77" s="122">
        <f t="shared" si="10"/>
        <v>91487.13</v>
      </c>
      <c r="G77" s="122">
        <v>13188624.33</v>
      </c>
      <c r="H77" s="122">
        <v>31808.6</v>
      </c>
      <c r="I77" s="122">
        <v>59678.53</v>
      </c>
      <c r="J77" s="119">
        <f t="shared" si="11"/>
        <v>5.4300000000000001E-2</v>
      </c>
      <c r="K77" s="255"/>
      <c r="L77" s="122"/>
      <c r="M77" s="122"/>
      <c r="N77" s="227">
        <v>47573</v>
      </c>
      <c r="O77" s="112">
        <f t="shared" si="12"/>
        <v>6</v>
      </c>
      <c r="P77" s="122" t="e">
        <f t="shared" si="13"/>
        <v>#VALUE!</v>
      </c>
    </row>
    <row r="78" spans="2:16" x14ac:dyDescent="0.25">
      <c r="B78" s="227">
        <v>47568</v>
      </c>
      <c r="C78" s="227">
        <v>47599</v>
      </c>
      <c r="D78" s="232">
        <v>30</v>
      </c>
      <c r="E78" s="111">
        <v>47599</v>
      </c>
      <c r="F78" s="122">
        <f t="shared" si="10"/>
        <v>91487.12</v>
      </c>
      <c r="G78" s="122">
        <v>13156815.73</v>
      </c>
      <c r="H78" s="122">
        <v>31952.53</v>
      </c>
      <c r="I78" s="122">
        <v>59534.59</v>
      </c>
      <c r="J78" s="119">
        <f t="shared" si="11"/>
        <v>5.4300000000000001E-2</v>
      </c>
      <c r="K78" s="255"/>
      <c r="L78" s="122"/>
      <c r="M78" s="122"/>
      <c r="N78" s="227">
        <v>47603</v>
      </c>
      <c r="O78" s="232">
        <f t="shared" si="12"/>
        <v>5</v>
      </c>
      <c r="P78" s="122" t="e">
        <f t="shared" si="13"/>
        <v>#VALUE!</v>
      </c>
    </row>
    <row r="79" spans="2:16" x14ac:dyDescent="0.25">
      <c r="B79" s="227">
        <v>47599</v>
      </c>
      <c r="C79" s="227">
        <v>47629</v>
      </c>
      <c r="D79" s="112">
        <v>30</v>
      </c>
      <c r="E79" s="111">
        <v>47630</v>
      </c>
      <c r="F79" s="122">
        <f t="shared" si="10"/>
        <v>91487.13</v>
      </c>
      <c r="G79" s="122">
        <v>13124863.189999999</v>
      </c>
      <c r="H79" s="122">
        <v>32097.119999999999</v>
      </c>
      <c r="I79" s="122">
        <v>59390.01</v>
      </c>
      <c r="J79" s="119">
        <f t="shared" si="11"/>
        <v>5.4300000000000001E-2</v>
      </c>
      <c r="K79" s="255"/>
      <c r="L79" s="122"/>
      <c r="M79" s="122"/>
      <c r="N79" s="227">
        <v>47634</v>
      </c>
      <c r="O79" s="112">
        <f t="shared" si="12"/>
        <v>6</v>
      </c>
      <c r="P79" s="122" t="e">
        <f t="shared" si="13"/>
        <v>#VALUE!</v>
      </c>
    </row>
    <row r="80" spans="2:16" x14ac:dyDescent="0.25">
      <c r="B80" s="227">
        <v>47629</v>
      </c>
      <c r="C80" s="227">
        <v>47660</v>
      </c>
      <c r="D80" s="112">
        <v>30</v>
      </c>
      <c r="E80" s="111">
        <v>47660</v>
      </c>
      <c r="F80" s="122">
        <f t="shared" si="10"/>
        <v>91487.13</v>
      </c>
      <c r="G80" s="122">
        <v>13092766.07</v>
      </c>
      <c r="H80" s="122">
        <v>32242.36</v>
      </c>
      <c r="I80" s="122">
        <v>59244.77</v>
      </c>
      <c r="J80" s="119">
        <f t="shared" si="11"/>
        <v>5.4300000000000001E-2</v>
      </c>
      <c r="K80" s="255"/>
      <c r="L80" s="122"/>
      <c r="M80" s="122"/>
      <c r="N80" s="227">
        <v>47664</v>
      </c>
      <c r="O80" s="112">
        <f t="shared" si="12"/>
        <v>5</v>
      </c>
      <c r="P80" s="122" t="e">
        <f t="shared" si="13"/>
        <v>#VALUE!</v>
      </c>
    </row>
    <row r="81" spans="2:16" x14ac:dyDescent="0.25">
      <c r="B81" s="227">
        <v>47660</v>
      </c>
      <c r="C81" s="227">
        <v>47690</v>
      </c>
      <c r="D81" s="232">
        <v>30</v>
      </c>
      <c r="E81" s="111">
        <v>47690</v>
      </c>
      <c r="F81" s="122">
        <f t="shared" si="10"/>
        <v>91487.13</v>
      </c>
      <c r="G81" s="122">
        <v>13060523.720000001</v>
      </c>
      <c r="H81" s="122">
        <v>32388.26</v>
      </c>
      <c r="I81" s="122">
        <v>59098.87</v>
      </c>
      <c r="J81" s="119">
        <f t="shared" si="11"/>
        <v>5.4300000000000001E-2</v>
      </c>
      <c r="K81" s="255"/>
      <c r="L81" s="122"/>
      <c r="M81" s="122"/>
      <c r="N81" s="227">
        <v>47695</v>
      </c>
      <c r="O81" s="232">
        <f t="shared" si="12"/>
        <v>6</v>
      </c>
      <c r="P81" s="122" t="e">
        <f t="shared" si="13"/>
        <v>#VALUE!</v>
      </c>
    </row>
    <row r="82" spans="2:16" x14ac:dyDescent="0.25">
      <c r="B82" s="227">
        <v>47690</v>
      </c>
      <c r="C82" s="227">
        <v>47721</v>
      </c>
      <c r="D82" s="112">
        <v>30</v>
      </c>
      <c r="E82" s="111">
        <v>47721</v>
      </c>
      <c r="F82" s="122">
        <f t="shared" si="10"/>
        <v>91487.12</v>
      </c>
      <c r="G82" s="122">
        <v>13028135.460000001</v>
      </c>
      <c r="H82" s="122">
        <v>32534.81</v>
      </c>
      <c r="I82" s="122">
        <v>58952.31</v>
      </c>
      <c r="J82" s="119">
        <f t="shared" si="11"/>
        <v>5.4300000000000001E-2</v>
      </c>
      <c r="K82" s="255"/>
      <c r="L82" s="122"/>
      <c r="M82" s="122"/>
      <c r="N82" s="227">
        <v>47726</v>
      </c>
      <c r="O82" s="112">
        <f t="shared" si="12"/>
        <v>6</v>
      </c>
      <c r="P82" s="122" t="e">
        <f t="shared" si="13"/>
        <v>#VALUE!</v>
      </c>
    </row>
    <row r="83" spans="2:16" x14ac:dyDescent="0.25">
      <c r="B83" s="227">
        <v>47721</v>
      </c>
      <c r="C83" s="227">
        <v>47752</v>
      </c>
      <c r="D83" s="112">
        <v>30</v>
      </c>
      <c r="E83" s="111">
        <v>47752</v>
      </c>
      <c r="F83" s="122">
        <f t="shared" si="10"/>
        <v>91487.12</v>
      </c>
      <c r="G83" s="122">
        <v>12995600.65</v>
      </c>
      <c r="H83" s="122">
        <v>32682.03</v>
      </c>
      <c r="I83" s="122">
        <v>58805.09</v>
      </c>
      <c r="J83" s="119">
        <f t="shared" si="11"/>
        <v>5.4300000000000001E-2</v>
      </c>
      <c r="K83" s="255"/>
      <c r="L83" s="122"/>
      <c r="M83" s="122"/>
      <c r="N83" s="227">
        <v>47756</v>
      </c>
      <c r="O83" s="112">
        <f t="shared" si="12"/>
        <v>5</v>
      </c>
      <c r="P83" s="122" t="e">
        <f t="shared" si="13"/>
        <v>#VALUE!</v>
      </c>
    </row>
    <row r="84" spans="2:16" x14ac:dyDescent="0.25">
      <c r="B84" s="227">
        <v>47752</v>
      </c>
      <c r="C84" s="227">
        <v>47782</v>
      </c>
      <c r="D84" s="232">
        <v>30</v>
      </c>
      <c r="E84" s="111">
        <v>47784</v>
      </c>
      <c r="F84" s="122">
        <f t="shared" si="10"/>
        <v>91487.13</v>
      </c>
      <c r="G84" s="122">
        <v>12962918.619999999</v>
      </c>
      <c r="H84" s="122">
        <v>32829.919999999998</v>
      </c>
      <c r="I84" s="122">
        <v>58657.21</v>
      </c>
      <c r="J84" s="119">
        <f t="shared" si="11"/>
        <v>5.4300000000000001E-2</v>
      </c>
      <c r="K84" s="255"/>
      <c r="L84" s="122"/>
      <c r="M84" s="122"/>
      <c r="N84" s="227">
        <v>47787</v>
      </c>
      <c r="O84" s="232">
        <f t="shared" si="12"/>
        <v>6</v>
      </c>
      <c r="P84" s="122" t="e">
        <f t="shared" si="13"/>
        <v>#VALUE!</v>
      </c>
    </row>
    <row r="85" spans="2:16" x14ac:dyDescent="0.25">
      <c r="B85" s="227">
        <v>47782</v>
      </c>
      <c r="C85" s="227">
        <v>47813</v>
      </c>
      <c r="D85" s="112">
        <v>30</v>
      </c>
      <c r="E85" s="111">
        <v>47813</v>
      </c>
      <c r="F85" s="122">
        <f t="shared" si="10"/>
        <v>91487.12</v>
      </c>
      <c r="G85" s="122">
        <v>12930088.699999999</v>
      </c>
      <c r="H85" s="122">
        <v>32978.47</v>
      </c>
      <c r="I85" s="122">
        <v>58508.65</v>
      </c>
      <c r="J85" s="119">
        <f t="shared" si="11"/>
        <v>5.4300000000000001E-2</v>
      </c>
      <c r="K85" s="255"/>
      <c r="L85" s="122"/>
      <c r="M85" s="122"/>
      <c r="N85" s="227">
        <v>47817</v>
      </c>
      <c r="O85" s="112">
        <f t="shared" si="12"/>
        <v>5</v>
      </c>
      <c r="P85" s="122" t="e">
        <f t="shared" si="13"/>
        <v>#VALUE!</v>
      </c>
    </row>
    <row r="86" spans="2:16" x14ac:dyDescent="0.25">
      <c r="B86" s="227">
        <v>47813</v>
      </c>
      <c r="C86" s="227">
        <v>47843</v>
      </c>
      <c r="D86" s="112">
        <v>30</v>
      </c>
      <c r="E86" s="111">
        <v>47844</v>
      </c>
      <c r="F86" s="122">
        <f t="shared" si="10"/>
        <v>91487.12</v>
      </c>
      <c r="G86" s="122">
        <v>12897110.220000001</v>
      </c>
      <c r="H86" s="122">
        <v>33127.699999999997</v>
      </c>
      <c r="I86" s="122">
        <v>58359.42</v>
      </c>
      <c r="J86" s="119">
        <f t="shared" si="11"/>
        <v>5.4300000000000001E-2</v>
      </c>
      <c r="K86" s="255"/>
      <c r="L86" s="122"/>
      <c r="M86" s="122"/>
      <c r="N86" s="227">
        <v>47848</v>
      </c>
      <c r="O86" s="112">
        <f t="shared" si="12"/>
        <v>6</v>
      </c>
      <c r="P86" s="122" t="e">
        <f t="shared" si="13"/>
        <v>#VALUE!</v>
      </c>
    </row>
    <row r="87" spans="2:16" x14ac:dyDescent="0.25">
      <c r="B87" s="227">
        <v>47843</v>
      </c>
      <c r="C87" s="227">
        <v>47874</v>
      </c>
      <c r="D87" s="232">
        <v>30</v>
      </c>
      <c r="E87" s="111">
        <v>47875</v>
      </c>
      <c r="F87" s="122">
        <f t="shared" si="10"/>
        <v>91487.12</v>
      </c>
      <c r="G87" s="122">
        <v>12863982.52</v>
      </c>
      <c r="H87" s="122">
        <v>33277.599999999999</v>
      </c>
      <c r="I87" s="122">
        <v>58209.52</v>
      </c>
      <c r="J87" s="119">
        <f t="shared" si="11"/>
        <v>5.4300000000000001E-2</v>
      </c>
      <c r="K87" s="255"/>
      <c r="L87" s="122"/>
      <c r="M87" s="122"/>
      <c r="N87" s="227">
        <v>47879</v>
      </c>
      <c r="O87" s="232">
        <f t="shared" si="12"/>
        <v>6</v>
      </c>
      <c r="P87" s="122" t="e">
        <f t="shared" si="13"/>
        <v>#VALUE!</v>
      </c>
    </row>
    <row r="88" spans="2:16" x14ac:dyDescent="0.25">
      <c r="B88" s="227">
        <v>47874</v>
      </c>
      <c r="C88" s="227">
        <v>47905</v>
      </c>
      <c r="D88" s="112">
        <v>30</v>
      </c>
      <c r="E88" s="111">
        <v>47905</v>
      </c>
      <c r="F88" s="122">
        <f t="shared" si="10"/>
        <v>91487.13</v>
      </c>
      <c r="G88" s="122">
        <v>12830704.92</v>
      </c>
      <c r="H88" s="122">
        <v>33428.19</v>
      </c>
      <c r="I88" s="122">
        <v>58058.94</v>
      </c>
      <c r="J88" s="119">
        <f t="shared" si="11"/>
        <v>5.4300000000000001E-2</v>
      </c>
      <c r="K88" s="255"/>
      <c r="L88" s="122"/>
      <c r="M88" s="122"/>
      <c r="N88" s="227">
        <v>47907</v>
      </c>
      <c r="O88" s="112">
        <f t="shared" si="12"/>
        <v>3</v>
      </c>
      <c r="P88" s="122" t="e">
        <f t="shared" si="13"/>
        <v>#VALUE!</v>
      </c>
    </row>
    <row r="89" spans="2:16" x14ac:dyDescent="0.25">
      <c r="B89" s="227">
        <v>47905</v>
      </c>
      <c r="C89" s="227">
        <v>47933</v>
      </c>
      <c r="D89" s="112">
        <v>30</v>
      </c>
      <c r="E89" s="111">
        <v>47933</v>
      </c>
      <c r="F89" s="122">
        <f t="shared" si="10"/>
        <v>91487.13</v>
      </c>
      <c r="G89" s="122">
        <v>12797276.73</v>
      </c>
      <c r="H89" s="122">
        <v>33579.449999999997</v>
      </c>
      <c r="I89" s="122">
        <v>57907.68</v>
      </c>
      <c r="J89" s="119">
        <f t="shared" si="11"/>
        <v>5.4300000000000001E-2</v>
      </c>
      <c r="K89" s="255"/>
      <c r="L89" s="122"/>
      <c r="M89" s="122"/>
      <c r="N89" s="227">
        <v>47938</v>
      </c>
      <c r="O89" s="112">
        <f t="shared" si="12"/>
        <v>6</v>
      </c>
      <c r="P89" s="122" t="e">
        <f t="shared" si="13"/>
        <v>#VALUE!</v>
      </c>
    </row>
    <row r="90" spans="2:16" x14ac:dyDescent="0.25">
      <c r="B90" s="227">
        <v>47933</v>
      </c>
      <c r="C90" s="227">
        <v>47964</v>
      </c>
      <c r="D90" s="232">
        <v>30</v>
      </c>
      <c r="E90" s="111">
        <v>47966</v>
      </c>
      <c r="F90" s="122">
        <f t="shared" si="10"/>
        <v>91487.13</v>
      </c>
      <c r="G90" s="122">
        <v>12763697.279999999</v>
      </c>
      <c r="H90" s="122">
        <v>33731.4</v>
      </c>
      <c r="I90" s="122">
        <v>57755.73</v>
      </c>
      <c r="J90" s="119">
        <f t="shared" si="11"/>
        <v>5.4300000000000001E-2</v>
      </c>
      <c r="K90" s="255"/>
      <c r="L90" s="122"/>
      <c r="M90" s="122"/>
      <c r="N90" s="227">
        <v>47968</v>
      </c>
      <c r="O90" s="232">
        <f t="shared" si="12"/>
        <v>5</v>
      </c>
      <c r="P90" s="122" t="e">
        <f t="shared" si="13"/>
        <v>#VALUE!</v>
      </c>
    </row>
    <row r="91" spans="2:16" x14ac:dyDescent="0.25">
      <c r="B91" s="227">
        <v>47964</v>
      </c>
      <c r="C91" s="227">
        <v>47994</v>
      </c>
      <c r="D91" s="112">
        <v>30</v>
      </c>
      <c r="E91" s="111">
        <v>47994</v>
      </c>
      <c r="F91" s="122">
        <f t="shared" si="10"/>
        <v>91487.13</v>
      </c>
      <c r="G91" s="122">
        <v>12729965.890000001</v>
      </c>
      <c r="H91" s="122">
        <v>33884.03</v>
      </c>
      <c r="I91" s="122">
        <v>57603.1</v>
      </c>
      <c r="J91" s="119">
        <f t="shared" si="11"/>
        <v>5.4300000000000001E-2</v>
      </c>
      <c r="K91" s="255"/>
      <c r="L91" s="122"/>
      <c r="M91" s="122"/>
      <c r="N91" s="227">
        <v>47999</v>
      </c>
      <c r="O91" s="112">
        <f t="shared" si="12"/>
        <v>6</v>
      </c>
      <c r="P91" s="122" t="e">
        <f t="shared" si="13"/>
        <v>#VALUE!</v>
      </c>
    </row>
    <row r="92" spans="2:16" x14ac:dyDescent="0.25">
      <c r="B92" s="227">
        <v>47994</v>
      </c>
      <c r="C92" s="227">
        <v>48025</v>
      </c>
      <c r="D92" s="112">
        <v>30</v>
      </c>
      <c r="E92" s="111">
        <v>48025</v>
      </c>
      <c r="F92" s="122">
        <f t="shared" si="10"/>
        <v>91487.12</v>
      </c>
      <c r="G92" s="122">
        <v>12696081.859999999</v>
      </c>
      <c r="H92" s="122">
        <v>34037.35</v>
      </c>
      <c r="I92" s="122">
        <v>57449.77</v>
      </c>
      <c r="J92" s="119">
        <f t="shared" si="11"/>
        <v>5.4300000000000001E-2</v>
      </c>
      <c r="K92" s="255"/>
      <c r="L92" s="122"/>
      <c r="M92" s="122"/>
      <c r="N92" s="227">
        <v>48029</v>
      </c>
      <c r="O92" s="112">
        <f t="shared" si="12"/>
        <v>5</v>
      </c>
      <c r="P92" s="122" t="e">
        <f t="shared" si="13"/>
        <v>#VALUE!</v>
      </c>
    </row>
    <row r="93" spans="2:16" x14ac:dyDescent="0.25">
      <c r="B93" s="227">
        <v>48025</v>
      </c>
      <c r="C93" s="227">
        <v>48055</v>
      </c>
      <c r="D93" s="232">
        <v>30</v>
      </c>
      <c r="E93" s="111">
        <v>48057</v>
      </c>
      <c r="F93" s="122">
        <f t="shared" si="10"/>
        <v>91487.12</v>
      </c>
      <c r="G93" s="122">
        <v>12662044.5</v>
      </c>
      <c r="H93" s="122">
        <v>34191.370000000003</v>
      </c>
      <c r="I93" s="122">
        <v>57295.75</v>
      </c>
      <c r="J93" s="119">
        <f t="shared" si="11"/>
        <v>5.4300000000000001E-2</v>
      </c>
      <c r="K93" s="255"/>
      <c r="L93" s="122"/>
      <c r="M93" s="122"/>
      <c r="N93" s="227">
        <v>48060</v>
      </c>
      <c r="O93" s="232">
        <f t="shared" si="12"/>
        <v>6</v>
      </c>
      <c r="P93" s="122" t="e">
        <f t="shared" si="13"/>
        <v>#VALUE!</v>
      </c>
    </row>
    <row r="94" spans="2:16" ht="13.8" customHeight="1" x14ac:dyDescent="0.25">
      <c r="B94" s="227">
        <v>48055</v>
      </c>
      <c r="C94" s="227">
        <v>48086</v>
      </c>
      <c r="D94" s="112">
        <v>30</v>
      </c>
      <c r="E94" s="111">
        <v>48086</v>
      </c>
      <c r="F94" s="122">
        <f t="shared" si="10"/>
        <v>91487.13</v>
      </c>
      <c r="G94" s="122">
        <v>12627853.130000001</v>
      </c>
      <c r="H94" s="122">
        <v>34346.089999999997</v>
      </c>
      <c r="I94" s="122">
        <v>57141.04</v>
      </c>
      <c r="J94" s="119">
        <f t="shared" si="11"/>
        <v>5.4300000000000001E-2</v>
      </c>
      <c r="K94" s="255"/>
      <c r="L94" s="122"/>
      <c r="M94" s="122"/>
      <c r="N94" s="227">
        <v>48091</v>
      </c>
      <c r="O94" s="112">
        <f t="shared" si="12"/>
        <v>6</v>
      </c>
      <c r="P94" s="122" t="e">
        <f t="shared" si="13"/>
        <v>#VALUE!</v>
      </c>
    </row>
    <row r="95" spans="2:16" x14ac:dyDescent="0.25">
      <c r="B95" s="227">
        <v>48086</v>
      </c>
      <c r="C95" s="227">
        <v>48117</v>
      </c>
      <c r="D95" s="112">
        <v>30</v>
      </c>
      <c r="E95" s="111">
        <v>48117</v>
      </c>
      <c r="F95" s="122">
        <f t="shared" si="10"/>
        <v>91487.13</v>
      </c>
      <c r="G95" s="122">
        <v>12593507.039999999</v>
      </c>
      <c r="H95" s="122">
        <v>34501.51</v>
      </c>
      <c r="I95" s="122">
        <v>56985.62</v>
      </c>
      <c r="J95" s="119">
        <f t="shared" si="11"/>
        <v>5.4300000000000001E-2</v>
      </c>
      <c r="K95" s="255"/>
      <c r="L95" s="122"/>
      <c r="M95" s="122"/>
      <c r="N95" s="227">
        <v>48121</v>
      </c>
      <c r="O95" s="112">
        <f t="shared" si="12"/>
        <v>5</v>
      </c>
      <c r="P95" s="122" t="e">
        <f t="shared" si="13"/>
        <v>#VALUE!</v>
      </c>
    </row>
    <row r="96" spans="2:16" x14ac:dyDescent="0.25">
      <c r="B96" s="227">
        <v>48117</v>
      </c>
      <c r="C96" s="227">
        <v>48147</v>
      </c>
      <c r="D96" s="232">
        <v>30</v>
      </c>
      <c r="E96" s="111">
        <v>48148</v>
      </c>
      <c r="F96" s="122">
        <f t="shared" si="10"/>
        <v>91487.13</v>
      </c>
      <c r="G96" s="122">
        <v>12559005.529999999</v>
      </c>
      <c r="H96" s="122">
        <v>34657.629999999997</v>
      </c>
      <c r="I96" s="122">
        <v>56829.5</v>
      </c>
      <c r="J96" s="119">
        <f t="shared" si="11"/>
        <v>5.4300000000000001E-2</v>
      </c>
      <c r="K96" s="255"/>
      <c r="L96" s="122"/>
      <c r="M96" s="122"/>
      <c r="N96" s="227">
        <v>48152</v>
      </c>
      <c r="O96" s="232">
        <f t="shared" si="12"/>
        <v>6</v>
      </c>
      <c r="P96" s="122" t="e">
        <f t="shared" si="13"/>
        <v>#VALUE!</v>
      </c>
    </row>
    <row r="97" spans="2:16" x14ac:dyDescent="0.25">
      <c r="B97" s="227">
        <v>48147</v>
      </c>
      <c r="C97" s="227">
        <v>48178</v>
      </c>
      <c r="D97" s="112">
        <v>30</v>
      </c>
      <c r="E97" s="111">
        <v>48178</v>
      </c>
      <c r="F97" s="122">
        <f t="shared" si="10"/>
        <v>91487.12</v>
      </c>
      <c r="G97" s="122">
        <v>12524347.91</v>
      </c>
      <c r="H97" s="122">
        <v>34814.449999999997</v>
      </c>
      <c r="I97" s="122">
        <v>56672.67</v>
      </c>
      <c r="J97" s="119">
        <f t="shared" si="11"/>
        <v>5.4300000000000001E-2</v>
      </c>
      <c r="K97" s="255"/>
      <c r="L97" s="122"/>
      <c r="M97" s="122"/>
      <c r="N97" s="227">
        <v>48182</v>
      </c>
      <c r="O97" s="112">
        <f t="shared" si="12"/>
        <v>5</v>
      </c>
      <c r="P97" s="122" t="e">
        <f t="shared" si="13"/>
        <v>#VALUE!</v>
      </c>
    </row>
    <row r="98" spans="2:16" x14ac:dyDescent="0.25">
      <c r="B98" s="227">
        <v>48178</v>
      </c>
      <c r="C98" s="227">
        <v>48208</v>
      </c>
      <c r="D98" s="112">
        <v>30</v>
      </c>
      <c r="E98" s="111">
        <v>48211</v>
      </c>
      <c r="F98" s="122">
        <f t="shared" si="10"/>
        <v>91487.13</v>
      </c>
      <c r="G98" s="122">
        <v>12489533.460000001</v>
      </c>
      <c r="H98" s="122">
        <v>34971.99</v>
      </c>
      <c r="I98" s="122">
        <v>56515.14</v>
      </c>
      <c r="J98" s="119">
        <f t="shared" si="11"/>
        <v>5.4300000000000001E-2</v>
      </c>
      <c r="K98" s="255"/>
      <c r="L98" s="122"/>
      <c r="M98" s="122"/>
      <c r="N98" s="227">
        <v>48213</v>
      </c>
      <c r="O98" s="112">
        <f t="shared" si="12"/>
        <v>6</v>
      </c>
      <c r="P98" s="122" t="e">
        <f t="shared" si="13"/>
        <v>#VALUE!</v>
      </c>
    </row>
    <row r="99" spans="2:16" x14ac:dyDescent="0.25">
      <c r="B99" s="227">
        <v>48208</v>
      </c>
      <c r="C99" s="227">
        <v>48239</v>
      </c>
      <c r="D99" s="232">
        <v>30</v>
      </c>
      <c r="E99" s="111">
        <v>48239</v>
      </c>
      <c r="F99" s="122">
        <f t="shared" si="10"/>
        <v>91487.12</v>
      </c>
      <c r="G99" s="122">
        <v>12454561.470000001</v>
      </c>
      <c r="H99" s="122">
        <v>35130.230000000003</v>
      </c>
      <c r="I99" s="122">
        <v>56356.89</v>
      </c>
      <c r="J99" s="119">
        <f t="shared" si="11"/>
        <v>5.4300000000000001E-2</v>
      </c>
      <c r="K99" s="255"/>
      <c r="L99" s="122"/>
      <c r="M99" s="122"/>
      <c r="N99" s="227">
        <v>48244</v>
      </c>
      <c r="O99" s="232">
        <f t="shared" si="12"/>
        <v>6</v>
      </c>
      <c r="P99" s="122" t="e">
        <f t="shared" si="13"/>
        <v>#VALUE!</v>
      </c>
    </row>
    <row r="100" spans="2:16" x14ac:dyDescent="0.25">
      <c r="B100" s="227">
        <v>48239</v>
      </c>
      <c r="C100" s="227">
        <v>48270</v>
      </c>
      <c r="D100" s="112">
        <v>30</v>
      </c>
      <c r="E100" s="111">
        <v>48270</v>
      </c>
      <c r="F100" s="122">
        <f t="shared" si="10"/>
        <v>91487.126361001108</v>
      </c>
      <c r="G100" s="122">
        <v>12419431.24</v>
      </c>
      <c r="H100" s="122">
        <f>G100-G101</f>
        <v>35289.200000001118</v>
      </c>
      <c r="I100" s="122">
        <f>G100*J100/12</f>
        <v>56197.926360999998</v>
      </c>
      <c r="J100" s="119">
        <f t="shared" si="11"/>
        <v>5.4300000000000001E-2</v>
      </c>
      <c r="K100" s="255"/>
      <c r="L100" s="122"/>
      <c r="M100" s="122"/>
      <c r="N100" s="227">
        <v>48273</v>
      </c>
      <c r="O100" s="112">
        <f t="shared" si="12"/>
        <v>4</v>
      </c>
      <c r="P100" s="122" t="e">
        <f t="shared" si="13"/>
        <v>#VALUE!</v>
      </c>
    </row>
    <row r="101" spans="2:16" x14ac:dyDescent="0.25">
      <c r="B101" s="227">
        <v>48270</v>
      </c>
      <c r="C101" s="227">
        <v>48299</v>
      </c>
      <c r="D101" s="232">
        <v>30</v>
      </c>
      <c r="E101" s="111">
        <v>48302</v>
      </c>
      <c r="F101" s="122">
        <f t="shared" si="10"/>
        <v>91487.132730998739</v>
      </c>
      <c r="G101" s="122">
        <v>12384142.039999999</v>
      </c>
      <c r="H101" s="122">
        <f t="shared" ref="H101:H127" si="14">G101-G102</f>
        <v>35448.889999998733</v>
      </c>
      <c r="I101" s="122">
        <f t="shared" ref="I101:I128" si="15">G101*J101/12</f>
        <v>56038.242730999998</v>
      </c>
      <c r="J101" s="119">
        <f t="shared" si="11"/>
        <v>5.4300000000000001E-2</v>
      </c>
      <c r="K101" s="255"/>
      <c r="L101" s="122"/>
      <c r="M101" s="122"/>
      <c r="N101" s="227">
        <v>48304</v>
      </c>
      <c r="O101" s="232">
        <f t="shared" si="12"/>
        <v>6</v>
      </c>
      <c r="P101" s="122" t="e">
        <f t="shared" si="13"/>
        <v>#VALUE!</v>
      </c>
    </row>
    <row r="102" spans="2:16" x14ac:dyDescent="0.25">
      <c r="B102" s="227">
        <v>48299</v>
      </c>
      <c r="C102" s="227">
        <v>48330</v>
      </c>
      <c r="D102" s="112">
        <v>30</v>
      </c>
      <c r="E102" s="111">
        <v>48330</v>
      </c>
      <c r="F102" s="122">
        <f t="shared" si="10"/>
        <v>91487.116503751196</v>
      </c>
      <c r="G102" s="122">
        <v>12348693.15</v>
      </c>
      <c r="H102" s="122">
        <f t="shared" si="14"/>
        <v>35609.280000001192</v>
      </c>
      <c r="I102" s="122">
        <f t="shared" si="15"/>
        <v>55877.836503750004</v>
      </c>
      <c r="J102" s="119">
        <f t="shared" si="11"/>
        <v>5.4300000000000001E-2</v>
      </c>
      <c r="K102" s="255"/>
      <c r="L102" s="122"/>
      <c r="M102" s="122"/>
      <c r="N102" s="227">
        <v>48334</v>
      </c>
      <c r="O102" s="112">
        <f t="shared" si="12"/>
        <v>5</v>
      </c>
      <c r="P102" s="122" t="e">
        <f t="shared" si="13"/>
        <v>#VALUE!</v>
      </c>
    </row>
    <row r="103" spans="2:16" x14ac:dyDescent="0.25">
      <c r="B103" s="227">
        <v>48330</v>
      </c>
      <c r="C103" s="227">
        <v>48360</v>
      </c>
      <c r="D103" s="232">
        <v>30</v>
      </c>
      <c r="E103" s="111">
        <v>48360</v>
      </c>
      <c r="F103" s="122">
        <f t="shared" si="10"/>
        <v>91487.134511749697</v>
      </c>
      <c r="G103" s="122">
        <v>12313083.869999999</v>
      </c>
      <c r="H103" s="122">
        <f t="shared" si="14"/>
        <v>35770.429999999702</v>
      </c>
      <c r="I103" s="122">
        <f t="shared" si="15"/>
        <v>55716.704511749995</v>
      </c>
      <c r="J103" s="119">
        <f t="shared" si="11"/>
        <v>5.4300000000000001E-2</v>
      </c>
      <c r="K103" s="255"/>
      <c r="L103" s="122"/>
      <c r="M103" s="122"/>
      <c r="N103" s="227">
        <v>48365</v>
      </c>
      <c r="O103" s="232">
        <f t="shared" si="12"/>
        <v>6</v>
      </c>
      <c r="P103" s="122" t="e">
        <f t="shared" si="13"/>
        <v>#VALUE!</v>
      </c>
    </row>
    <row r="104" spans="2:16" x14ac:dyDescent="0.25">
      <c r="B104" s="227">
        <v>48360</v>
      </c>
      <c r="C104" s="227">
        <v>48391</v>
      </c>
      <c r="D104" s="112">
        <v>30</v>
      </c>
      <c r="E104" s="111">
        <v>48393</v>
      </c>
      <c r="F104" s="122">
        <f t="shared" si="10"/>
        <v>91487.123315999343</v>
      </c>
      <c r="G104" s="122">
        <v>12277313.439999999</v>
      </c>
      <c r="H104" s="122">
        <f t="shared" si="14"/>
        <v>35932.279999999329</v>
      </c>
      <c r="I104" s="122">
        <f t="shared" si="15"/>
        <v>55554.843316000006</v>
      </c>
      <c r="J104" s="119">
        <f t="shared" si="11"/>
        <v>5.4300000000000001E-2</v>
      </c>
      <c r="K104" s="255"/>
      <c r="L104" s="122"/>
      <c r="M104" s="122"/>
      <c r="N104" s="227">
        <v>48395</v>
      </c>
      <c r="O104" s="112">
        <f t="shared" si="12"/>
        <v>5</v>
      </c>
      <c r="P104" s="122" t="e">
        <f t="shared" si="13"/>
        <v>#VALUE!</v>
      </c>
    </row>
    <row r="105" spans="2:16" x14ac:dyDescent="0.25">
      <c r="B105" s="227">
        <v>48391</v>
      </c>
      <c r="C105" s="227">
        <v>48421</v>
      </c>
      <c r="D105" s="232">
        <v>30</v>
      </c>
      <c r="E105" s="111">
        <v>48421</v>
      </c>
      <c r="F105" s="122">
        <f t="shared" si="10"/>
        <v>91487.119749001053</v>
      </c>
      <c r="G105" s="122">
        <v>12241381.16</v>
      </c>
      <c r="H105" s="122">
        <f t="shared" si="14"/>
        <v>36094.870000001043</v>
      </c>
      <c r="I105" s="122">
        <f t="shared" si="15"/>
        <v>55392.249749000002</v>
      </c>
      <c r="J105" s="119">
        <f t="shared" si="11"/>
        <v>5.4300000000000001E-2</v>
      </c>
      <c r="K105" s="255"/>
      <c r="L105" s="122"/>
      <c r="M105" s="122"/>
      <c r="N105" s="227">
        <v>48426</v>
      </c>
      <c r="O105" s="232">
        <f t="shared" si="12"/>
        <v>6</v>
      </c>
      <c r="P105" s="122" t="e">
        <f t="shared" si="13"/>
        <v>#VALUE!</v>
      </c>
    </row>
    <row r="106" spans="2:16" x14ac:dyDescent="0.25">
      <c r="B106" s="227">
        <v>48421</v>
      </c>
      <c r="C106" s="227">
        <v>48452</v>
      </c>
      <c r="D106" s="112">
        <v>30</v>
      </c>
      <c r="E106" s="111">
        <v>48452</v>
      </c>
      <c r="F106" s="122">
        <f t="shared" si="10"/>
        <v>91487.130462249042</v>
      </c>
      <c r="G106" s="122">
        <v>12205286.289999999</v>
      </c>
      <c r="H106" s="122">
        <f t="shared" si="14"/>
        <v>36258.209999999031</v>
      </c>
      <c r="I106" s="122">
        <f t="shared" si="15"/>
        <v>55228.920462250004</v>
      </c>
      <c r="J106" s="119">
        <f t="shared" si="11"/>
        <v>5.4300000000000001E-2</v>
      </c>
      <c r="K106" s="255"/>
      <c r="L106" s="122"/>
      <c r="M106" s="122"/>
      <c r="N106" s="227">
        <v>48457</v>
      </c>
      <c r="O106" s="112">
        <f t="shared" si="12"/>
        <v>6</v>
      </c>
      <c r="P106" s="122" t="e">
        <f t="shared" si="13"/>
        <v>#VALUE!</v>
      </c>
    </row>
    <row r="107" spans="2:16" x14ac:dyDescent="0.25">
      <c r="B107" s="227">
        <v>48452</v>
      </c>
      <c r="C107" s="227">
        <v>48483</v>
      </c>
      <c r="D107" s="232">
        <v>30</v>
      </c>
      <c r="E107" s="111">
        <v>48484</v>
      </c>
      <c r="F107" s="122">
        <f t="shared" si="10"/>
        <v>91487.122061999544</v>
      </c>
      <c r="G107" s="122">
        <v>12169028.08</v>
      </c>
      <c r="H107" s="122">
        <f t="shared" si="14"/>
        <v>36422.269999999553</v>
      </c>
      <c r="I107" s="122">
        <f t="shared" si="15"/>
        <v>55064.852061999998</v>
      </c>
      <c r="J107" s="119">
        <f t="shared" si="11"/>
        <v>5.4300000000000001E-2</v>
      </c>
      <c r="K107" s="255"/>
      <c r="L107" s="122"/>
      <c r="M107" s="122"/>
      <c r="N107" s="227">
        <v>48487</v>
      </c>
      <c r="O107" s="232">
        <f t="shared" si="12"/>
        <v>5</v>
      </c>
      <c r="P107" s="122" t="e">
        <f t="shared" si="13"/>
        <v>#VALUE!</v>
      </c>
    </row>
    <row r="108" spans="2:16" x14ac:dyDescent="0.25">
      <c r="B108" s="227">
        <v>48483</v>
      </c>
      <c r="C108" s="227">
        <v>48513</v>
      </c>
      <c r="D108" s="112">
        <v>30</v>
      </c>
      <c r="E108" s="111">
        <v>48513</v>
      </c>
      <c r="F108" s="122">
        <f t="shared" si="10"/>
        <v>91487.131290249847</v>
      </c>
      <c r="G108" s="122">
        <v>12132605.810000001</v>
      </c>
      <c r="H108" s="122">
        <f t="shared" si="14"/>
        <v>36587.089999999851</v>
      </c>
      <c r="I108" s="122">
        <f t="shared" si="15"/>
        <v>54900.041290250003</v>
      </c>
      <c r="J108" s="119">
        <f t="shared" si="11"/>
        <v>5.4300000000000001E-2</v>
      </c>
      <c r="K108" s="255"/>
      <c r="L108" s="122"/>
      <c r="M108" s="122"/>
      <c r="N108" s="227">
        <v>48518</v>
      </c>
      <c r="O108" s="112">
        <f t="shared" si="12"/>
        <v>6</v>
      </c>
      <c r="P108" s="122" t="e">
        <f t="shared" si="13"/>
        <v>#VALUE!</v>
      </c>
    </row>
    <row r="109" spans="2:16" x14ac:dyDescent="0.25">
      <c r="B109" s="227">
        <v>48513</v>
      </c>
      <c r="C109" s="227">
        <v>48544</v>
      </c>
      <c r="D109" s="232">
        <v>30</v>
      </c>
      <c r="E109" s="111">
        <v>48544</v>
      </c>
      <c r="F109" s="122">
        <f t="shared" si="10"/>
        <v>91487.1247080006</v>
      </c>
      <c r="G109" s="122">
        <v>12096018.720000001</v>
      </c>
      <c r="H109" s="122">
        <f t="shared" si="14"/>
        <v>36752.640000000596</v>
      </c>
      <c r="I109" s="122">
        <f t="shared" si="15"/>
        <v>54734.484708000004</v>
      </c>
      <c r="J109" s="119">
        <f t="shared" si="11"/>
        <v>5.4300000000000001E-2</v>
      </c>
      <c r="K109" s="255"/>
      <c r="L109" s="122"/>
      <c r="M109" s="122"/>
      <c r="N109" s="227">
        <v>48548</v>
      </c>
      <c r="O109" s="232">
        <f t="shared" si="12"/>
        <v>5</v>
      </c>
      <c r="P109" s="122" t="e">
        <f t="shared" si="13"/>
        <v>#VALUE!</v>
      </c>
    </row>
    <row r="110" spans="2:16" x14ac:dyDescent="0.25">
      <c r="B110" s="227">
        <v>48544</v>
      </c>
      <c r="C110" s="227">
        <v>48574</v>
      </c>
      <c r="D110" s="112">
        <v>30</v>
      </c>
      <c r="E110" s="111">
        <v>48577</v>
      </c>
      <c r="F110" s="122">
        <f t="shared" si="10"/>
        <v>91487.119011999486</v>
      </c>
      <c r="G110" s="122">
        <v>12059266.08</v>
      </c>
      <c r="H110" s="122">
        <f t="shared" si="14"/>
        <v>36918.939999999478</v>
      </c>
      <c r="I110" s="122">
        <f t="shared" si="15"/>
        <v>54568.179012000001</v>
      </c>
      <c r="J110" s="119">
        <f t="shared" si="11"/>
        <v>5.4300000000000001E-2</v>
      </c>
      <c r="K110" s="255"/>
      <c r="L110" s="122"/>
      <c r="M110" s="122"/>
      <c r="N110" s="227">
        <v>48579</v>
      </c>
      <c r="O110" s="112">
        <f t="shared" si="12"/>
        <v>6</v>
      </c>
      <c r="P110" s="122" t="e">
        <f t="shared" si="13"/>
        <v>#VALUE!</v>
      </c>
    </row>
    <row r="111" spans="2:16" x14ac:dyDescent="0.25">
      <c r="B111" s="227">
        <v>48574</v>
      </c>
      <c r="C111" s="227">
        <v>48605</v>
      </c>
      <c r="D111" s="232">
        <v>30</v>
      </c>
      <c r="E111" s="111">
        <v>48605</v>
      </c>
      <c r="F111" s="122">
        <f t="shared" ref="F111:F128" si="16">H111+I111</f>
        <v>91487.130808499787</v>
      </c>
      <c r="G111" s="122">
        <v>12022347.140000001</v>
      </c>
      <c r="H111" s="122">
        <f t="shared" si="14"/>
        <v>37086.009999999776</v>
      </c>
      <c r="I111" s="122">
        <f t="shared" si="15"/>
        <v>54401.120808500003</v>
      </c>
      <c r="J111" s="119">
        <f t="shared" si="11"/>
        <v>5.4300000000000001E-2</v>
      </c>
      <c r="K111" s="255"/>
      <c r="L111" s="122"/>
      <c r="M111" s="122"/>
      <c r="N111" s="227">
        <v>48610</v>
      </c>
      <c r="O111" s="232">
        <f t="shared" si="12"/>
        <v>6</v>
      </c>
      <c r="P111" s="122" t="e">
        <f t="shared" si="13"/>
        <v>#VALUE!</v>
      </c>
    </row>
    <row r="112" spans="2:16" x14ac:dyDescent="0.25">
      <c r="B112" s="227">
        <v>48605</v>
      </c>
      <c r="C112" s="227">
        <v>48636</v>
      </c>
      <c r="D112" s="112">
        <v>30</v>
      </c>
      <c r="E112" s="111">
        <v>48638</v>
      </c>
      <c r="F112" s="122">
        <f t="shared" si="16"/>
        <v>91487.126613250293</v>
      </c>
      <c r="G112" s="122">
        <v>11985261.130000001</v>
      </c>
      <c r="H112" s="122">
        <f t="shared" si="14"/>
        <v>37253.820000000298</v>
      </c>
      <c r="I112" s="122">
        <f t="shared" si="15"/>
        <v>54233.306613250003</v>
      </c>
      <c r="J112" s="119">
        <f t="shared" si="11"/>
        <v>5.4300000000000001E-2</v>
      </c>
      <c r="K112" s="255"/>
      <c r="L112" s="122"/>
      <c r="M112" s="122"/>
      <c r="N112" s="227">
        <v>48638</v>
      </c>
      <c r="O112" s="112">
        <f t="shared" si="12"/>
        <v>3</v>
      </c>
      <c r="P112" s="122" t="e">
        <f t="shared" si="13"/>
        <v>#VALUE!</v>
      </c>
    </row>
    <row r="113" spans="2:16" x14ac:dyDescent="0.25">
      <c r="B113" s="227">
        <v>48636</v>
      </c>
      <c r="C113" s="227">
        <v>48664</v>
      </c>
      <c r="D113" s="232">
        <v>30</v>
      </c>
      <c r="E113" s="111">
        <v>48666</v>
      </c>
      <c r="F113" s="122">
        <f t="shared" si="16"/>
        <v>91487.123077750613</v>
      </c>
      <c r="G113" s="122">
        <v>11948007.310000001</v>
      </c>
      <c r="H113" s="122">
        <f t="shared" si="14"/>
        <v>37422.390000000596</v>
      </c>
      <c r="I113" s="122">
        <f t="shared" si="15"/>
        <v>54064.73307775001</v>
      </c>
      <c r="J113" s="119">
        <f t="shared" si="11"/>
        <v>5.4300000000000001E-2</v>
      </c>
      <c r="K113" s="255"/>
      <c r="L113" s="122"/>
      <c r="M113" s="122"/>
      <c r="N113" s="227">
        <v>48669</v>
      </c>
      <c r="O113" s="232">
        <f t="shared" si="12"/>
        <v>6</v>
      </c>
      <c r="P113" s="122" t="e">
        <f t="shared" si="13"/>
        <v>#VALUE!</v>
      </c>
    </row>
    <row r="114" spans="2:16" x14ac:dyDescent="0.25">
      <c r="B114" s="227">
        <v>48664</v>
      </c>
      <c r="C114" s="227">
        <v>48695</v>
      </c>
      <c r="D114" s="112">
        <v>30</v>
      </c>
      <c r="E114" s="111">
        <v>48695</v>
      </c>
      <c r="F114" s="122">
        <f t="shared" si="16"/>
        <v>91487.126763000444</v>
      </c>
      <c r="G114" s="122">
        <v>11910584.92</v>
      </c>
      <c r="H114" s="122">
        <f t="shared" si="14"/>
        <v>37591.730000000447</v>
      </c>
      <c r="I114" s="122">
        <f t="shared" si="15"/>
        <v>53895.396762999997</v>
      </c>
      <c r="J114" s="119">
        <f t="shared" si="11"/>
        <v>5.4300000000000001E-2</v>
      </c>
      <c r="K114" s="255"/>
      <c r="L114" s="122"/>
      <c r="M114" s="122"/>
      <c r="N114" s="227">
        <v>48699</v>
      </c>
      <c r="O114" s="112">
        <f t="shared" si="12"/>
        <v>5</v>
      </c>
      <c r="P114" s="122" t="e">
        <f t="shared" si="13"/>
        <v>#VALUE!</v>
      </c>
    </row>
    <row r="115" spans="2:16" x14ac:dyDescent="0.25">
      <c r="B115" s="227">
        <v>48695</v>
      </c>
      <c r="C115" s="227">
        <v>48725</v>
      </c>
      <c r="D115" s="232">
        <v>30</v>
      </c>
      <c r="E115" s="111">
        <v>48725</v>
      </c>
      <c r="F115" s="122">
        <f t="shared" si="16"/>
        <v>91487.124184750079</v>
      </c>
      <c r="G115" s="122">
        <v>11872993.189999999</v>
      </c>
      <c r="H115" s="122">
        <f t="shared" si="14"/>
        <v>37761.830000000075</v>
      </c>
      <c r="I115" s="122">
        <f t="shared" si="15"/>
        <v>53725.294184749997</v>
      </c>
      <c r="J115" s="119">
        <f t="shared" si="11"/>
        <v>5.4300000000000001E-2</v>
      </c>
      <c r="K115" s="255"/>
      <c r="L115" s="122"/>
      <c r="M115" s="122"/>
      <c r="N115" s="227">
        <v>48730</v>
      </c>
      <c r="O115" s="232">
        <f t="shared" si="12"/>
        <v>6</v>
      </c>
      <c r="P115" s="122" t="e">
        <f t="shared" si="13"/>
        <v>#VALUE!</v>
      </c>
    </row>
    <row r="116" spans="2:16" x14ac:dyDescent="0.25">
      <c r="B116" s="227">
        <v>48725</v>
      </c>
      <c r="C116" s="227">
        <v>48756</v>
      </c>
      <c r="D116" s="112">
        <v>30</v>
      </c>
      <c r="E116" s="111">
        <v>48757</v>
      </c>
      <c r="F116" s="122">
        <f t="shared" si="16"/>
        <v>91487.121903999243</v>
      </c>
      <c r="G116" s="122">
        <v>11835231.359999999</v>
      </c>
      <c r="H116" s="122">
        <f t="shared" si="14"/>
        <v>37932.699999999255</v>
      </c>
      <c r="I116" s="122">
        <f t="shared" si="15"/>
        <v>53554.421903999995</v>
      </c>
      <c r="J116" s="119">
        <f t="shared" si="11"/>
        <v>5.4300000000000001E-2</v>
      </c>
      <c r="K116" s="255"/>
      <c r="L116" s="122"/>
      <c r="M116" s="122"/>
      <c r="N116" s="227">
        <v>48760</v>
      </c>
      <c r="O116" s="112">
        <f t="shared" si="12"/>
        <v>5</v>
      </c>
      <c r="P116" s="122" t="e">
        <f t="shared" si="13"/>
        <v>#VALUE!</v>
      </c>
    </row>
    <row r="117" spans="2:16" x14ac:dyDescent="0.25">
      <c r="B117" s="227">
        <v>48756</v>
      </c>
      <c r="C117" s="227">
        <v>48786</v>
      </c>
      <c r="D117" s="232">
        <v>30</v>
      </c>
      <c r="E117" s="111">
        <v>48786</v>
      </c>
      <c r="F117" s="122">
        <f t="shared" si="16"/>
        <v>91487.126436499617</v>
      </c>
      <c r="G117" s="122">
        <v>11797298.66</v>
      </c>
      <c r="H117" s="122">
        <f t="shared" si="14"/>
        <v>38104.349999999627</v>
      </c>
      <c r="I117" s="122">
        <f t="shared" si="15"/>
        <v>53382.776436499997</v>
      </c>
      <c r="J117" s="119">
        <f t="shared" si="11"/>
        <v>5.4300000000000001E-2</v>
      </c>
      <c r="K117" s="255"/>
      <c r="L117" s="122"/>
      <c r="M117" s="122"/>
      <c r="N117" s="227">
        <v>48791</v>
      </c>
      <c r="O117" s="232">
        <f t="shared" si="12"/>
        <v>6</v>
      </c>
      <c r="P117" s="122" t="e">
        <f t="shared" si="13"/>
        <v>#VALUE!</v>
      </c>
    </row>
    <row r="118" spans="2:16" x14ac:dyDescent="0.25">
      <c r="B118" s="227">
        <v>48786</v>
      </c>
      <c r="C118" s="227">
        <v>48817</v>
      </c>
      <c r="D118" s="112">
        <v>30</v>
      </c>
      <c r="E118" s="111">
        <v>48817</v>
      </c>
      <c r="F118" s="122">
        <f t="shared" si="16"/>
        <v>91487.124252751411</v>
      </c>
      <c r="G118" s="122">
        <v>11759194.310000001</v>
      </c>
      <c r="H118" s="122">
        <f t="shared" si="14"/>
        <v>38276.770000001416</v>
      </c>
      <c r="I118" s="122">
        <f t="shared" si="15"/>
        <v>53210.354252750003</v>
      </c>
      <c r="J118" s="119">
        <f t="shared" si="11"/>
        <v>5.4300000000000001E-2</v>
      </c>
      <c r="K118" s="255"/>
      <c r="L118" s="122"/>
      <c r="M118" s="122"/>
      <c r="N118" s="227">
        <v>48822</v>
      </c>
      <c r="O118" s="112">
        <f t="shared" si="12"/>
        <v>6</v>
      </c>
      <c r="P118" s="122" t="e">
        <f t="shared" si="13"/>
        <v>#VALUE!</v>
      </c>
    </row>
    <row r="119" spans="2:16" x14ac:dyDescent="0.25">
      <c r="B119" s="227">
        <v>48817</v>
      </c>
      <c r="C119" s="227">
        <v>48848</v>
      </c>
      <c r="D119" s="232">
        <v>30</v>
      </c>
      <c r="E119" s="111">
        <v>48848</v>
      </c>
      <c r="F119" s="122">
        <f t="shared" si="16"/>
        <v>91487.121868498798</v>
      </c>
      <c r="G119" s="122">
        <v>11720917.539999999</v>
      </c>
      <c r="H119" s="122">
        <f t="shared" si="14"/>
        <v>38449.969999998808</v>
      </c>
      <c r="I119" s="122">
        <f t="shared" si="15"/>
        <v>53037.151868499997</v>
      </c>
      <c r="J119" s="119">
        <f t="shared" si="11"/>
        <v>5.4300000000000001E-2</v>
      </c>
      <c r="K119" s="255"/>
      <c r="L119" s="122"/>
      <c r="M119" s="122"/>
      <c r="N119" s="227">
        <v>48852</v>
      </c>
      <c r="O119" s="232">
        <f t="shared" si="12"/>
        <v>5</v>
      </c>
      <c r="P119" s="122" t="e">
        <f t="shared" si="13"/>
        <v>#VALUE!</v>
      </c>
    </row>
    <row r="120" spans="2:16" x14ac:dyDescent="0.25">
      <c r="B120" s="227">
        <v>48848</v>
      </c>
      <c r="C120" s="227">
        <v>48878</v>
      </c>
      <c r="D120" s="112">
        <v>30</v>
      </c>
      <c r="E120" s="111">
        <v>48878</v>
      </c>
      <c r="F120" s="122">
        <f t="shared" si="16"/>
        <v>91487.125754250883</v>
      </c>
      <c r="G120" s="122">
        <v>11682467.57</v>
      </c>
      <c r="H120" s="122">
        <f t="shared" si="14"/>
        <v>38623.960000000894</v>
      </c>
      <c r="I120" s="122">
        <f t="shared" si="15"/>
        <v>52863.165754249996</v>
      </c>
      <c r="J120" s="119">
        <f t="shared" si="11"/>
        <v>5.4300000000000001E-2</v>
      </c>
      <c r="K120" s="255"/>
      <c r="L120" s="122"/>
      <c r="M120" s="122"/>
      <c r="N120" s="227">
        <v>48883</v>
      </c>
      <c r="O120" s="112">
        <f t="shared" si="12"/>
        <v>6</v>
      </c>
      <c r="P120" s="122" t="e">
        <f t="shared" si="13"/>
        <v>#VALUE!</v>
      </c>
    </row>
    <row r="121" spans="2:16" x14ac:dyDescent="0.25">
      <c r="B121" s="227">
        <v>48878</v>
      </c>
      <c r="C121" s="227">
        <v>48909</v>
      </c>
      <c r="D121" s="232">
        <v>30</v>
      </c>
      <c r="E121" s="111">
        <v>48911</v>
      </c>
      <c r="F121" s="122">
        <f t="shared" si="16"/>
        <v>91487.132335250208</v>
      </c>
      <c r="G121" s="122">
        <v>11643843.609999999</v>
      </c>
      <c r="H121" s="122">
        <f t="shared" si="14"/>
        <v>38798.740000000224</v>
      </c>
      <c r="I121" s="122">
        <f t="shared" si="15"/>
        <v>52688.392335249991</v>
      </c>
      <c r="J121" s="119">
        <f t="shared" si="11"/>
        <v>5.4300000000000001E-2</v>
      </c>
      <c r="K121" s="255"/>
      <c r="L121" s="122"/>
      <c r="M121" s="122"/>
      <c r="N121" s="227">
        <v>48913</v>
      </c>
      <c r="O121" s="232">
        <f t="shared" si="12"/>
        <v>5</v>
      </c>
      <c r="P121" s="122" t="e">
        <f t="shared" si="13"/>
        <v>#VALUE!</v>
      </c>
    </row>
    <row r="122" spans="2:16" x14ac:dyDescent="0.25">
      <c r="B122" s="227">
        <v>48909</v>
      </c>
      <c r="C122" s="227">
        <v>48939</v>
      </c>
      <c r="D122" s="112">
        <v>30</v>
      </c>
      <c r="E122" s="111">
        <v>48941</v>
      </c>
      <c r="F122" s="122">
        <f t="shared" si="16"/>
        <v>91487.118036749103</v>
      </c>
      <c r="G122" s="122">
        <v>11605044.869999999</v>
      </c>
      <c r="H122" s="122">
        <f t="shared" si="14"/>
        <v>38974.289999999106</v>
      </c>
      <c r="I122" s="122">
        <f t="shared" si="15"/>
        <v>52512.828036749997</v>
      </c>
      <c r="J122" s="119">
        <f t="shared" si="11"/>
        <v>5.4300000000000001E-2</v>
      </c>
      <c r="K122" s="255"/>
      <c r="L122" s="122"/>
      <c r="M122" s="122"/>
      <c r="N122" s="227">
        <v>48944</v>
      </c>
      <c r="O122" s="112">
        <f t="shared" si="12"/>
        <v>6</v>
      </c>
      <c r="P122" s="122" t="e">
        <f t="shared" si="13"/>
        <v>#VALUE!</v>
      </c>
    </row>
    <row r="123" spans="2:16" x14ac:dyDescent="0.25">
      <c r="B123" s="227">
        <v>48939</v>
      </c>
      <c r="C123" s="227">
        <v>48970</v>
      </c>
      <c r="D123" s="232">
        <v>30</v>
      </c>
      <c r="E123" s="111">
        <v>48970</v>
      </c>
      <c r="F123" s="122">
        <f t="shared" si="16"/>
        <v>91487.12937450016</v>
      </c>
      <c r="G123" s="122">
        <v>11566070.58</v>
      </c>
      <c r="H123" s="122">
        <f t="shared" si="14"/>
        <v>39150.660000000149</v>
      </c>
      <c r="I123" s="122">
        <f t="shared" si="15"/>
        <v>52336.469374500004</v>
      </c>
      <c r="J123" s="119">
        <f t="shared" si="11"/>
        <v>5.4300000000000001E-2</v>
      </c>
      <c r="K123" s="255"/>
      <c r="L123" s="122"/>
      <c r="M123" s="122"/>
      <c r="N123" s="227">
        <v>48975</v>
      </c>
      <c r="O123" s="232">
        <f t="shared" si="12"/>
        <v>6</v>
      </c>
      <c r="P123" s="122" t="e">
        <f t="shared" si="13"/>
        <v>#VALUE!</v>
      </c>
    </row>
    <row r="124" spans="2:16" x14ac:dyDescent="0.25">
      <c r="B124" s="227">
        <v>48970</v>
      </c>
      <c r="C124" s="227">
        <v>49001</v>
      </c>
      <c r="D124" s="112">
        <v>30</v>
      </c>
      <c r="E124" s="111">
        <v>49002</v>
      </c>
      <c r="F124" s="122">
        <f t="shared" si="16"/>
        <v>91487.122638000525</v>
      </c>
      <c r="G124" s="122">
        <v>11526919.92</v>
      </c>
      <c r="H124" s="122">
        <f t="shared" si="14"/>
        <v>39327.810000000522</v>
      </c>
      <c r="I124" s="122">
        <f t="shared" si="15"/>
        <v>52159.312638000003</v>
      </c>
      <c r="J124" s="119">
        <f t="shared" si="11"/>
        <v>5.4300000000000001E-2</v>
      </c>
      <c r="K124" s="255"/>
      <c r="L124" s="122"/>
      <c r="M124" s="122"/>
      <c r="N124" s="227">
        <v>49003</v>
      </c>
      <c r="O124" s="112">
        <f t="shared" si="12"/>
        <v>3</v>
      </c>
      <c r="P124" s="122" t="e">
        <f t="shared" si="13"/>
        <v>#VALUE!</v>
      </c>
    </row>
    <row r="125" spans="2:16" x14ac:dyDescent="0.25">
      <c r="B125" s="227">
        <v>49001</v>
      </c>
      <c r="C125" s="227">
        <v>49029</v>
      </c>
      <c r="D125" s="232">
        <v>30</v>
      </c>
      <c r="E125" s="111">
        <v>49030</v>
      </c>
      <c r="F125" s="122">
        <f t="shared" si="16"/>
        <v>91487.124297749542</v>
      </c>
      <c r="G125" s="122">
        <v>11487592.109999999</v>
      </c>
      <c r="H125" s="122">
        <f t="shared" si="14"/>
        <v>39505.769999999553</v>
      </c>
      <c r="I125" s="122">
        <f t="shared" si="15"/>
        <v>51981.354297749996</v>
      </c>
      <c r="J125" s="119">
        <f t="shared" si="11"/>
        <v>5.4300000000000001E-2</v>
      </c>
      <c r="K125" s="255"/>
      <c r="L125" s="122"/>
      <c r="M125" s="122"/>
      <c r="N125" s="227">
        <v>49034</v>
      </c>
      <c r="O125" s="232">
        <f t="shared" si="12"/>
        <v>6</v>
      </c>
      <c r="P125" s="122" t="e">
        <f t="shared" si="13"/>
        <v>#VALUE!</v>
      </c>
    </row>
    <row r="126" spans="2:16" x14ac:dyDescent="0.25">
      <c r="B126" s="227">
        <v>49029</v>
      </c>
      <c r="C126" s="227">
        <v>49060</v>
      </c>
      <c r="D126" s="112">
        <v>30</v>
      </c>
      <c r="E126" s="111">
        <v>49060</v>
      </c>
      <c r="F126" s="122">
        <f t="shared" si="16"/>
        <v>91487.130688499106</v>
      </c>
      <c r="G126" s="122">
        <v>11448086.34</v>
      </c>
      <c r="H126" s="122">
        <f t="shared" si="14"/>
        <v>39684.539999999106</v>
      </c>
      <c r="I126" s="122">
        <f t="shared" si="15"/>
        <v>51802.5906885</v>
      </c>
      <c r="J126" s="119">
        <f t="shared" si="11"/>
        <v>5.4300000000000001E-2</v>
      </c>
      <c r="K126" s="255"/>
      <c r="L126" s="122"/>
      <c r="M126" s="122"/>
      <c r="N126" s="227">
        <v>49064</v>
      </c>
      <c r="O126" s="112">
        <f t="shared" si="12"/>
        <v>5</v>
      </c>
      <c r="P126" s="122" t="e">
        <f t="shared" si="13"/>
        <v>#VALUE!</v>
      </c>
    </row>
    <row r="127" spans="2:16" x14ac:dyDescent="0.25">
      <c r="B127" s="227">
        <v>49060</v>
      </c>
      <c r="C127" s="227">
        <v>49090</v>
      </c>
      <c r="D127" s="232">
        <v>30</v>
      </c>
      <c r="E127" s="111">
        <v>49090</v>
      </c>
      <c r="F127" s="122">
        <f t="shared" si="16"/>
        <v>91487.128145001276</v>
      </c>
      <c r="G127" s="122">
        <v>11408401.800000001</v>
      </c>
      <c r="H127" s="122">
        <f t="shared" si="14"/>
        <v>39864.110000001267</v>
      </c>
      <c r="I127" s="122">
        <f t="shared" si="15"/>
        <v>51623.018145000009</v>
      </c>
      <c r="J127" s="119">
        <f t="shared" si="11"/>
        <v>5.4300000000000001E-2</v>
      </c>
      <c r="K127" s="255"/>
      <c r="L127" s="122"/>
      <c r="M127" s="122"/>
      <c r="N127" s="227">
        <v>49095</v>
      </c>
      <c r="O127" s="232">
        <f t="shared" si="12"/>
        <v>6</v>
      </c>
      <c r="P127" s="122" t="e">
        <f t="shared" si="13"/>
        <v>#VALUE!</v>
      </c>
    </row>
    <row r="128" spans="2:16" x14ac:dyDescent="0.25">
      <c r="B128" s="227">
        <v>49090</v>
      </c>
      <c r="C128" s="227">
        <v>49121</v>
      </c>
      <c r="D128" s="112">
        <v>30</v>
      </c>
      <c r="E128" s="111">
        <v>49122</v>
      </c>
      <c r="F128" s="122">
        <f t="shared" si="16"/>
        <v>91487.123047250003</v>
      </c>
      <c r="G128" s="122">
        <v>11368537.689999999</v>
      </c>
      <c r="H128" s="122">
        <v>40044.49</v>
      </c>
      <c r="I128" s="122">
        <f t="shared" si="15"/>
        <v>51442.633047250005</v>
      </c>
      <c r="J128" s="119">
        <f t="shared" si="11"/>
        <v>5.4300000000000001E-2</v>
      </c>
      <c r="K128" s="255"/>
      <c r="L128" s="122"/>
      <c r="M128" s="122"/>
      <c r="N128" s="227">
        <v>49125</v>
      </c>
      <c r="O128" s="112">
        <f t="shared" si="12"/>
        <v>5</v>
      </c>
      <c r="P128" s="122" t="e">
        <f t="shared" si="13"/>
        <v>#VALUE!</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CD837-00D3-4312-8744-55D3403DAAA9}">
  <sheetPr>
    <pageSetUpPr fitToPage="1"/>
  </sheetPr>
  <dimension ref="A1:O167"/>
  <sheetViews>
    <sheetView showGridLines="0" zoomScale="85" zoomScaleNormal="85" workbookViewId="0">
      <pane xSplit="2" ySplit="16" topLeftCell="C18" activePane="bottomRight" state="frozen"/>
      <selection pane="topRight" activeCell="C1" sqref="C1"/>
      <selection pane="bottomLeft" activeCell="A13" sqref="A13"/>
      <selection pane="bottomRight" activeCell="L23" sqref="L23"/>
    </sheetView>
  </sheetViews>
  <sheetFormatPr baseColWidth="10" defaultColWidth="9.21875" defaultRowHeight="14.4" outlineLevelRow="1" x14ac:dyDescent="0.3"/>
  <cols>
    <col min="1" max="1" width="38.77734375" style="8" customWidth="1"/>
    <col min="2" max="2" width="32.109375" style="8" customWidth="1"/>
    <col min="3" max="4" width="23.77734375" style="8" customWidth="1"/>
    <col min="5" max="7" width="18.21875" style="8" customWidth="1"/>
    <col min="8" max="8" width="13.33203125" style="9" bestFit="1" customWidth="1"/>
    <col min="9" max="9" width="9.77734375" style="9" bestFit="1" customWidth="1"/>
    <col min="10" max="10" width="15.33203125" style="9" bestFit="1" customWidth="1"/>
    <col min="11" max="11" width="12.21875" style="9" bestFit="1" customWidth="1"/>
    <col min="12" max="12" width="15" style="9" bestFit="1" customWidth="1"/>
    <col min="13" max="14" width="9.21875" style="9"/>
    <col min="15" max="15" width="11.6640625" style="9" bestFit="1" customWidth="1"/>
    <col min="16" max="16384" width="9.21875" style="9"/>
  </cols>
  <sheetData>
    <row r="1" spans="1:10" ht="47.25" customHeight="1" x14ac:dyDescent="0.3"/>
    <row r="2" spans="1:10" ht="16.2" x14ac:dyDescent="0.35">
      <c r="A2" s="429" t="s">
        <v>4</v>
      </c>
      <c r="B2" s="429"/>
      <c r="G2" s="9"/>
    </row>
    <row r="3" spans="1:10" x14ac:dyDescent="0.3">
      <c r="A3" s="347" t="s">
        <v>9</v>
      </c>
      <c r="B3" s="347" t="s">
        <v>20</v>
      </c>
      <c r="D3" s="11"/>
      <c r="E3" s="11"/>
      <c r="F3" s="11"/>
      <c r="G3" s="9"/>
    </row>
    <row r="4" spans="1:10" x14ac:dyDescent="0.3">
      <c r="A4" s="347" t="s">
        <v>17</v>
      </c>
      <c r="B4" s="348">
        <v>45644</v>
      </c>
      <c r="G4" s="9"/>
    </row>
    <row r="5" spans="1:10" x14ac:dyDescent="0.3">
      <c r="A5" s="347" t="s">
        <v>18</v>
      </c>
      <c r="B5" s="348">
        <v>46385</v>
      </c>
      <c r="G5" s="9"/>
    </row>
    <row r="6" spans="1:10" x14ac:dyDescent="0.3">
      <c r="A6" s="347" t="s">
        <v>19</v>
      </c>
      <c r="B6" s="348">
        <v>46599</v>
      </c>
      <c r="C6" s="26"/>
      <c r="G6" s="9"/>
    </row>
    <row r="7" spans="1:10" x14ac:dyDescent="0.3">
      <c r="A7" s="347" t="s">
        <v>10</v>
      </c>
      <c r="B7" s="349">
        <v>5700000</v>
      </c>
      <c r="C7" s="26"/>
      <c r="F7" s="220"/>
      <c r="G7" s="9"/>
    </row>
    <row r="8" spans="1:10" x14ac:dyDescent="0.3">
      <c r="A8" s="347" t="s">
        <v>11</v>
      </c>
      <c r="B8" s="352">
        <v>300</v>
      </c>
      <c r="C8" s="27"/>
      <c r="D8" s="219"/>
      <c r="G8" s="9"/>
    </row>
    <row r="9" spans="1:10" x14ac:dyDescent="0.3">
      <c r="A9" s="347" t="s">
        <v>15</v>
      </c>
      <c r="B9" s="350">
        <v>0.02</v>
      </c>
      <c r="C9" s="28"/>
      <c r="D9" s="12"/>
      <c r="E9" s="12"/>
      <c r="F9" s="12"/>
      <c r="G9" s="9"/>
    </row>
    <row r="10" spans="1:10" x14ac:dyDescent="0.3">
      <c r="A10" s="347" t="s">
        <v>16</v>
      </c>
      <c r="B10" s="353">
        <v>2.9547000000000002E-3</v>
      </c>
      <c r="C10" s="29"/>
      <c r="D10" s="12"/>
      <c r="E10" s="12"/>
      <c r="F10" s="12"/>
      <c r="G10" s="9"/>
    </row>
    <row r="11" spans="1:10" x14ac:dyDescent="0.3">
      <c r="A11" s="347" t="s">
        <v>12</v>
      </c>
      <c r="B11" s="354">
        <v>2.9175E-2</v>
      </c>
      <c r="C11" s="30"/>
      <c r="D11" s="241"/>
      <c r="E11" s="12"/>
      <c r="F11" s="12"/>
      <c r="G11" s="9"/>
    </row>
    <row r="12" spans="1:10" x14ac:dyDescent="0.3">
      <c r="A12" s="347" t="s">
        <v>13</v>
      </c>
      <c r="B12" s="351" t="s">
        <v>21</v>
      </c>
      <c r="C12" s="29"/>
      <c r="D12" s="12"/>
      <c r="E12" s="12"/>
      <c r="F12" s="12"/>
      <c r="G12" s="9"/>
    </row>
    <row r="13" spans="1:10" x14ac:dyDescent="0.3">
      <c r="A13" s="347" t="s">
        <v>28</v>
      </c>
      <c r="B13" s="351" t="s">
        <v>22</v>
      </c>
      <c r="C13" s="31"/>
      <c r="D13" s="12"/>
      <c r="E13" s="12"/>
      <c r="F13" s="12"/>
      <c r="G13" s="9"/>
    </row>
    <row r="14" spans="1:10" x14ac:dyDescent="0.3">
      <c r="A14" s="339" t="s">
        <v>14</v>
      </c>
      <c r="B14" s="329"/>
      <c r="C14" s="29"/>
      <c r="D14" s="12"/>
      <c r="E14" s="12"/>
      <c r="F14" s="12"/>
      <c r="G14" s="9"/>
    </row>
    <row r="15" spans="1:10" ht="14.55" customHeight="1" x14ac:dyDescent="0.3">
      <c r="A15" s="427"/>
      <c r="B15" s="427"/>
      <c r="C15" s="12"/>
      <c r="D15" s="12"/>
      <c r="E15" s="12"/>
      <c r="F15" s="12"/>
      <c r="G15" s="12"/>
      <c r="H15" s="272" t="s">
        <v>227</v>
      </c>
      <c r="I15" s="271"/>
      <c r="J15" s="271"/>
    </row>
    <row r="16" spans="1:10" s="16" customFormat="1" ht="39" customHeight="1" x14ac:dyDescent="0.25">
      <c r="A16" s="330" t="s">
        <v>0</v>
      </c>
      <c r="B16" s="331" t="s">
        <v>1</v>
      </c>
      <c r="C16" s="14" t="s">
        <v>3</v>
      </c>
      <c r="D16" s="15" t="str">
        <f>"Taux "&amp;B13</f>
        <v>Taux 5 jours</v>
      </c>
      <c r="E16" s="15" t="s">
        <v>10</v>
      </c>
      <c r="F16" s="15" t="s">
        <v>2</v>
      </c>
      <c r="G16" s="15" t="s">
        <v>8</v>
      </c>
      <c r="H16" s="13" t="s">
        <v>45</v>
      </c>
      <c r="I16" s="14" t="s">
        <v>3</v>
      </c>
      <c r="J16" s="15" t="s">
        <v>8</v>
      </c>
    </row>
    <row r="17" spans="1:15" s="16" customFormat="1" ht="14.4" hidden="1" customHeight="1" outlineLevel="1" x14ac:dyDescent="0.3">
      <c r="A17" s="341">
        <v>45644</v>
      </c>
      <c r="B17" s="341">
        <v>45657</v>
      </c>
      <c r="C17" s="342">
        <f>B17-A17</f>
        <v>13</v>
      </c>
      <c r="D17" s="343">
        <v>3.6627499899999999E-2</v>
      </c>
      <c r="E17" s="344">
        <v>5700000</v>
      </c>
      <c r="F17" s="344">
        <v>0</v>
      </c>
      <c r="G17" s="344">
        <f>IF(D17="","",ROUND(E17*($B$11-D17)*C17/365,2))</f>
        <v>-1512.96</v>
      </c>
      <c r="H17" s="345"/>
      <c r="I17" s="346"/>
      <c r="J17" s="344"/>
    </row>
    <row r="18" spans="1:15" collapsed="1" x14ac:dyDescent="0.3">
      <c r="A18" s="332">
        <v>45644</v>
      </c>
      <c r="B18" s="332">
        <f>A19</f>
        <v>45684</v>
      </c>
      <c r="C18" s="340">
        <f>B18-A18</f>
        <v>40</v>
      </c>
      <c r="D18" s="250">
        <v>3.3184499899999997E-2</v>
      </c>
      <c r="E18" s="20">
        <v>5700000</v>
      </c>
      <c r="F18" s="20">
        <f>IF(E18="","",E18-E19)</f>
        <v>1469.5</v>
      </c>
      <c r="G18" s="20">
        <f>IF(D18="","",ROUND(E18*($B$11-D18)*C18/365,2))</f>
        <v>-2504.56</v>
      </c>
      <c r="H18" s="17">
        <v>45688</v>
      </c>
      <c r="I18" s="18">
        <f>IF(A18="","",H18-B18)+1</f>
        <v>5</v>
      </c>
      <c r="J18" s="20">
        <f>IF(D18="","",ROUND(E18*($B$11-D18)*I18/365,2))</f>
        <v>-313.07</v>
      </c>
      <c r="O18" s="281"/>
    </row>
    <row r="19" spans="1:15" x14ac:dyDescent="0.3">
      <c r="A19" s="332">
        <v>45684</v>
      </c>
      <c r="B19" s="332">
        <f t="shared" ref="B19:B41" si="0">A20</f>
        <v>45714</v>
      </c>
      <c r="C19" s="340">
        <f t="shared" ref="C19:C41" si="1">B19-A19</f>
        <v>30</v>
      </c>
      <c r="D19" s="4">
        <v>3.0760346666666681E-2</v>
      </c>
      <c r="E19" s="20">
        <v>5698530.5</v>
      </c>
      <c r="F19" s="20">
        <f t="shared" ref="F19:F41" si="2">IF(E19="","",E19-E20)</f>
        <v>9616.5999999996275</v>
      </c>
      <c r="G19" s="20">
        <f t="shared" ref="G19:G42" si="3">IF(D19="","",ROUND(E19*($B$11-D19)*C19/365,2))</f>
        <v>-742.53</v>
      </c>
      <c r="H19" s="17">
        <v>45716</v>
      </c>
      <c r="I19" s="18">
        <f t="shared" ref="I19:I41" si="4">IF(A20="","",H19-B19)+1</f>
        <v>3</v>
      </c>
      <c r="J19" s="20">
        <f t="shared" ref="J19:J42" si="5">IF(D19="","",ROUND(E19*($B$11-D19)*I19/365,2))</f>
        <v>-74.25</v>
      </c>
    </row>
    <row r="20" spans="1:15" x14ac:dyDescent="0.3">
      <c r="A20" s="332">
        <v>45714</v>
      </c>
      <c r="B20" s="332">
        <f t="shared" si="0"/>
        <v>45742</v>
      </c>
      <c r="C20" s="340">
        <f t="shared" si="1"/>
        <v>28</v>
      </c>
      <c r="D20" s="4">
        <v>2.9343680000000014E-2</v>
      </c>
      <c r="E20" s="20">
        <v>5688913.9000000004</v>
      </c>
      <c r="F20" s="20">
        <f t="shared" si="2"/>
        <v>11282.799999999814</v>
      </c>
      <c r="G20" s="20">
        <f t="shared" si="3"/>
        <v>-73.61</v>
      </c>
      <c r="H20" s="17">
        <v>45747</v>
      </c>
      <c r="I20" s="18">
        <f t="shared" si="4"/>
        <v>6</v>
      </c>
      <c r="J20" s="20">
        <f t="shared" si="5"/>
        <v>-15.77</v>
      </c>
      <c r="L20" s="296"/>
    </row>
    <row r="21" spans="1:15" x14ac:dyDescent="0.3">
      <c r="A21" s="332">
        <v>45742</v>
      </c>
      <c r="B21" s="332">
        <f t="shared" si="0"/>
        <v>45775</v>
      </c>
      <c r="C21" s="340">
        <f t="shared" si="1"/>
        <v>33</v>
      </c>
      <c r="D21" s="4">
        <v>2.7184589090909105E-2</v>
      </c>
      <c r="E21" s="20">
        <v>5677631.1000000006</v>
      </c>
      <c r="F21" s="20">
        <f>IF(E21="","",E21-E22)</f>
        <v>7273.4900000002235</v>
      </c>
      <c r="G21" s="20">
        <f t="shared" si="3"/>
        <v>1021.72</v>
      </c>
      <c r="H21" s="17">
        <v>45777</v>
      </c>
      <c r="I21" s="18">
        <f t="shared" si="4"/>
        <v>3</v>
      </c>
      <c r="J21" s="20">
        <f t="shared" si="5"/>
        <v>92.88</v>
      </c>
      <c r="L21" s="296"/>
    </row>
    <row r="22" spans="1:15" x14ac:dyDescent="0.3">
      <c r="A22" s="332">
        <v>45775</v>
      </c>
      <c r="B22" s="332">
        <f t="shared" si="0"/>
        <v>45803</v>
      </c>
      <c r="C22" s="340">
        <f t="shared" si="1"/>
        <v>28</v>
      </c>
      <c r="D22" s="4">
        <v>2.5593680000000001E-2</v>
      </c>
      <c r="E22" s="328">
        <v>5670357.6100000003</v>
      </c>
      <c r="F22" s="328">
        <f>IF(E22="","",E22-E23)</f>
        <v>11357</v>
      </c>
      <c r="G22" s="20">
        <f t="shared" si="3"/>
        <v>1557.83</v>
      </c>
      <c r="H22" s="17">
        <v>45808</v>
      </c>
      <c r="I22" s="18">
        <f t="shared" si="4"/>
        <v>6</v>
      </c>
      <c r="J22" s="20">
        <f t="shared" si="5"/>
        <v>333.82</v>
      </c>
      <c r="L22" s="296"/>
    </row>
    <row r="23" spans="1:15" x14ac:dyDescent="0.3">
      <c r="A23" s="332">
        <v>45803</v>
      </c>
      <c r="B23" s="332">
        <f t="shared" si="0"/>
        <v>45834</v>
      </c>
      <c r="C23" s="340">
        <f t="shared" si="1"/>
        <v>31</v>
      </c>
      <c r="D23" s="4">
        <v>2.3819486451612904E-2</v>
      </c>
      <c r="E23" s="20">
        <v>5659000.6100000003</v>
      </c>
      <c r="F23" s="20">
        <f t="shared" si="2"/>
        <v>8977.75</v>
      </c>
      <c r="G23" s="20">
        <f t="shared" si="3"/>
        <v>2574.0100000000002</v>
      </c>
      <c r="H23" s="17">
        <v>45838</v>
      </c>
      <c r="I23" s="18">
        <f t="shared" si="4"/>
        <v>5</v>
      </c>
      <c r="J23" s="20">
        <f t="shared" si="5"/>
        <v>415.16</v>
      </c>
      <c r="L23" s="296"/>
    </row>
    <row r="24" spans="1:15" x14ac:dyDescent="0.3">
      <c r="A24" s="332">
        <v>45834</v>
      </c>
      <c r="B24" s="332">
        <f t="shared" si="0"/>
        <v>45866</v>
      </c>
      <c r="C24" s="340">
        <f t="shared" si="1"/>
        <v>32</v>
      </c>
      <c r="D24" s="4">
        <v>2.3093680000000005E-2</v>
      </c>
      <c r="E24" s="20">
        <v>5650022.8600000003</v>
      </c>
      <c r="F24" s="20">
        <f t="shared" si="2"/>
        <v>8210.5499999998137</v>
      </c>
      <c r="G24" s="20">
        <f t="shared" si="3"/>
        <v>3012.35</v>
      </c>
      <c r="H24" s="17">
        <v>45869</v>
      </c>
      <c r="I24" s="18">
        <f t="shared" si="4"/>
        <v>4</v>
      </c>
      <c r="J24" s="20">
        <f t="shared" si="5"/>
        <v>376.54</v>
      </c>
      <c r="L24" s="296"/>
    </row>
    <row r="25" spans="1:15" x14ac:dyDescent="0.3">
      <c r="A25" s="332">
        <v>45866</v>
      </c>
      <c r="B25" s="332">
        <f t="shared" si="0"/>
        <v>45895</v>
      </c>
      <c r="C25" s="340">
        <f t="shared" si="1"/>
        <v>29</v>
      </c>
      <c r="D25" s="4">
        <v>2.3093680000000002E-2</v>
      </c>
      <c r="E25" s="20">
        <v>5641812.3100000005</v>
      </c>
      <c r="F25" s="20">
        <f t="shared" si="2"/>
        <v>10665.389999999665</v>
      </c>
      <c r="G25" s="20">
        <f t="shared" si="3"/>
        <v>2725.97</v>
      </c>
      <c r="H25" s="17">
        <v>45900</v>
      </c>
      <c r="I25" s="18">
        <f t="shared" si="4"/>
        <v>6</v>
      </c>
      <c r="J25" s="20">
        <f t="shared" si="5"/>
        <v>563.99</v>
      </c>
      <c r="L25" s="296"/>
    </row>
    <row r="26" spans="1:15" x14ac:dyDescent="0.3">
      <c r="A26" s="332">
        <v>45895</v>
      </c>
      <c r="B26" s="332">
        <f t="shared" si="0"/>
        <v>45926</v>
      </c>
      <c r="C26" s="340">
        <f t="shared" si="1"/>
        <v>31</v>
      </c>
      <c r="D26" s="4">
        <v>2.3093680000000005E-2</v>
      </c>
      <c r="E26" s="20">
        <v>5631146.9200000009</v>
      </c>
      <c r="F26" s="20">
        <f t="shared" si="2"/>
        <v>9101.070000000298</v>
      </c>
      <c r="G26" s="20">
        <f t="shared" si="3"/>
        <v>2908.46</v>
      </c>
      <c r="H26" s="17">
        <v>45930</v>
      </c>
      <c r="I26" s="18">
        <f t="shared" si="4"/>
        <v>5</v>
      </c>
      <c r="J26" s="20">
        <f t="shared" si="5"/>
        <v>469.11</v>
      </c>
      <c r="L26" s="296"/>
    </row>
    <row r="27" spans="1:15" x14ac:dyDescent="0.3">
      <c r="A27" s="332">
        <v>45926</v>
      </c>
      <c r="B27" s="332">
        <f t="shared" si="0"/>
        <v>45957</v>
      </c>
      <c r="C27" s="340">
        <f t="shared" si="1"/>
        <v>31</v>
      </c>
      <c r="D27" s="4">
        <v>2.3093680000000005E-2</v>
      </c>
      <c r="E27" s="20">
        <v>5622045.8500000006</v>
      </c>
      <c r="F27" s="20">
        <f t="shared" si="2"/>
        <v>9141.3600000003353</v>
      </c>
      <c r="G27" s="20">
        <f t="shared" si="3"/>
        <v>2903.76</v>
      </c>
      <c r="H27" s="17">
        <v>45961</v>
      </c>
      <c r="I27" s="18">
        <f t="shared" si="4"/>
        <v>5</v>
      </c>
      <c r="J27" s="20">
        <f t="shared" si="5"/>
        <v>468.35</v>
      </c>
      <c r="L27" s="296"/>
    </row>
    <row r="28" spans="1:15" x14ac:dyDescent="0.3">
      <c r="A28" s="332">
        <v>45957</v>
      </c>
      <c r="B28" s="332">
        <f t="shared" si="0"/>
        <v>45987</v>
      </c>
      <c r="C28" s="340">
        <f t="shared" si="1"/>
        <v>30</v>
      </c>
      <c r="D28" s="4">
        <v>2.3093680000000002E-2</v>
      </c>
      <c r="E28" s="20">
        <v>5612904.4900000002</v>
      </c>
      <c r="F28" s="20">
        <f t="shared" si="2"/>
        <v>9983.4699999997392</v>
      </c>
      <c r="G28" s="20">
        <f t="shared" si="3"/>
        <v>2805.52</v>
      </c>
      <c r="H28" s="17">
        <v>45991</v>
      </c>
      <c r="I28" s="18">
        <f t="shared" si="4"/>
        <v>5</v>
      </c>
      <c r="J28" s="20">
        <f t="shared" si="5"/>
        <v>467.59</v>
      </c>
      <c r="L28" s="296"/>
    </row>
    <row r="29" spans="1:15" x14ac:dyDescent="0.3">
      <c r="A29" s="332">
        <v>45987</v>
      </c>
      <c r="B29" s="332">
        <f t="shared" si="0"/>
        <v>46020</v>
      </c>
      <c r="C29" s="340">
        <f t="shared" si="1"/>
        <v>33</v>
      </c>
      <c r="D29" s="4">
        <v>2.3093680000000005E-2</v>
      </c>
      <c r="E29" s="20">
        <v>5602921.0200000005</v>
      </c>
      <c r="F29" s="20">
        <f t="shared" si="2"/>
        <v>7625.5999999996275</v>
      </c>
      <c r="G29" s="20">
        <f t="shared" si="3"/>
        <v>3080.59</v>
      </c>
      <c r="H29" s="17">
        <v>46022</v>
      </c>
      <c r="I29" s="18">
        <f t="shared" si="4"/>
        <v>3</v>
      </c>
      <c r="J29" s="20">
        <f t="shared" si="5"/>
        <v>280.05</v>
      </c>
      <c r="L29" s="296"/>
    </row>
    <row r="30" spans="1:15" x14ac:dyDescent="0.3">
      <c r="A30" s="332">
        <v>46020</v>
      </c>
      <c r="B30" s="332">
        <f t="shared" si="0"/>
        <v>46048</v>
      </c>
      <c r="C30" s="340">
        <f t="shared" si="1"/>
        <v>28</v>
      </c>
      <c r="D30" s="4">
        <v>2.3093679999999995E-2</v>
      </c>
      <c r="E30" s="20">
        <v>5595295.4200000009</v>
      </c>
      <c r="F30" s="20">
        <f t="shared" si="2"/>
        <v>11657.179999999702</v>
      </c>
      <c r="G30" s="20">
        <f t="shared" si="3"/>
        <v>2610.27</v>
      </c>
      <c r="H30" s="17">
        <v>46053</v>
      </c>
      <c r="I30" s="18">
        <f t="shared" si="4"/>
        <v>6</v>
      </c>
      <c r="J30" s="20">
        <f t="shared" si="5"/>
        <v>559.34</v>
      </c>
      <c r="L30" s="296"/>
    </row>
    <row r="31" spans="1:15" x14ac:dyDescent="0.3">
      <c r="A31" s="332">
        <v>46048</v>
      </c>
      <c r="B31" s="332">
        <f t="shared" si="0"/>
        <v>46079</v>
      </c>
      <c r="C31" s="340">
        <f t="shared" si="1"/>
        <v>31</v>
      </c>
      <c r="D31" s="4">
        <v>2.3093680000000005E-2</v>
      </c>
      <c r="E31" s="20">
        <v>5583638.2400000012</v>
      </c>
      <c r="F31" s="20">
        <f t="shared" si="2"/>
        <v>9311.410000000149</v>
      </c>
      <c r="G31" s="20">
        <f t="shared" si="3"/>
        <v>2883.92</v>
      </c>
      <c r="H31" s="17">
        <v>46081</v>
      </c>
      <c r="I31" s="18">
        <f t="shared" si="4"/>
        <v>3</v>
      </c>
      <c r="J31" s="20">
        <f t="shared" si="5"/>
        <v>279.08999999999997</v>
      </c>
      <c r="L31" s="296"/>
    </row>
    <row r="32" spans="1:15" x14ac:dyDescent="0.3">
      <c r="A32" s="332">
        <v>46079</v>
      </c>
      <c r="B32" s="332">
        <f t="shared" si="0"/>
        <v>46107</v>
      </c>
      <c r="C32" s="340">
        <f t="shared" si="1"/>
        <v>28</v>
      </c>
      <c r="D32" s="4">
        <v>2.3093679999999995E-2</v>
      </c>
      <c r="E32" s="20">
        <v>5574326.830000001</v>
      </c>
      <c r="F32" s="20">
        <f t="shared" si="2"/>
        <v>11741.030000000261</v>
      </c>
      <c r="G32" s="20">
        <f t="shared" si="3"/>
        <v>2600.4899999999998</v>
      </c>
      <c r="H32" s="17">
        <v>46112</v>
      </c>
      <c r="I32" s="18">
        <f t="shared" si="4"/>
        <v>6</v>
      </c>
      <c r="J32" s="20">
        <f t="shared" si="5"/>
        <v>557.25</v>
      </c>
      <c r="L32" s="296"/>
    </row>
    <row r="33" spans="1:12" x14ac:dyDescent="0.3">
      <c r="A33" s="332">
        <v>46107</v>
      </c>
      <c r="B33" s="332">
        <f t="shared" si="0"/>
        <v>46139</v>
      </c>
      <c r="C33" s="340">
        <f t="shared" si="1"/>
        <v>32</v>
      </c>
      <c r="D33" s="4">
        <v>2.3093680000000005E-2</v>
      </c>
      <c r="E33" s="20">
        <v>5562585.8000000007</v>
      </c>
      <c r="F33" s="20">
        <f t="shared" si="2"/>
        <v>8610.160000000149</v>
      </c>
      <c r="G33" s="20">
        <f t="shared" si="3"/>
        <v>2965.73</v>
      </c>
      <c r="H33" s="17">
        <v>46142</v>
      </c>
      <c r="I33" s="18">
        <f t="shared" si="4"/>
        <v>4</v>
      </c>
      <c r="J33" s="20">
        <f t="shared" si="5"/>
        <v>370.72</v>
      </c>
      <c r="L33" s="296"/>
    </row>
    <row r="34" spans="1:12" x14ac:dyDescent="0.3">
      <c r="A34" s="332">
        <v>46139</v>
      </c>
      <c r="B34" s="332">
        <f t="shared" si="0"/>
        <v>46168</v>
      </c>
      <c r="C34" s="340">
        <f t="shared" si="1"/>
        <v>29</v>
      </c>
      <c r="D34" s="4">
        <v>2.3093680000000002E-2</v>
      </c>
      <c r="E34" s="20">
        <v>5553975.6400000006</v>
      </c>
      <c r="F34" s="20">
        <f t="shared" si="2"/>
        <v>11029.19000000041</v>
      </c>
      <c r="G34" s="20">
        <f t="shared" si="3"/>
        <v>2683.53</v>
      </c>
      <c r="H34" s="17">
        <v>46173</v>
      </c>
      <c r="I34" s="18">
        <f t="shared" si="4"/>
        <v>6</v>
      </c>
      <c r="J34" s="20">
        <f t="shared" si="5"/>
        <v>555.21</v>
      </c>
    </row>
    <row r="35" spans="1:12" x14ac:dyDescent="0.3">
      <c r="A35" s="332">
        <v>46168</v>
      </c>
      <c r="B35" s="332">
        <f t="shared" si="0"/>
        <v>46199</v>
      </c>
      <c r="C35" s="340">
        <f t="shared" si="1"/>
        <v>31</v>
      </c>
      <c r="D35" s="4">
        <v>2.3093680000000005E-2</v>
      </c>
      <c r="E35" s="20">
        <v>5542946.4500000002</v>
      </c>
      <c r="F35" s="20">
        <f t="shared" si="2"/>
        <v>9491.570000000298</v>
      </c>
      <c r="G35" s="20">
        <f t="shared" si="3"/>
        <v>2862.91</v>
      </c>
      <c r="H35" s="17">
        <v>46203</v>
      </c>
      <c r="I35" s="18">
        <f t="shared" si="4"/>
        <v>5</v>
      </c>
      <c r="J35" s="20">
        <f t="shared" si="5"/>
        <v>461.76</v>
      </c>
    </row>
    <row r="36" spans="1:12" x14ac:dyDescent="0.3">
      <c r="A36" s="332">
        <v>46199</v>
      </c>
      <c r="B36" s="332">
        <f t="shared" si="0"/>
        <v>46230</v>
      </c>
      <c r="C36" s="340">
        <f t="shared" si="1"/>
        <v>31</v>
      </c>
      <c r="D36" s="4">
        <v>2.3093680000000002E-2</v>
      </c>
      <c r="E36" s="20">
        <v>5533454.8799999999</v>
      </c>
      <c r="F36" s="20">
        <f t="shared" si="2"/>
        <v>9533.589999999851</v>
      </c>
      <c r="G36" s="20">
        <f t="shared" si="3"/>
        <v>2858.01</v>
      </c>
      <c r="H36" s="17">
        <v>46234</v>
      </c>
      <c r="I36" s="18">
        <f t="shared" si="4"/>
        <v>5</v>
      </c>
      <c r="J36" s="20">
        <f t="shared" si="5"/>
        <v>460.97</v>
      </c>
    </row>
    <row r="37" spans="1:12" x14ac:dyDescent="0.3">
      <c r="A37" s="332">
        <v>46230</v>
      </c>
      <c r="B37" s="332">
        <f t="shared" si="0"/>
        <v>46260</v>
      </c>
      <c r="C37" s="340">
        <f t="shared" si="1"/>
        <v>30</v>
      </c>
      <c r="D37" s="4">
        <v>2.3093680000000002E-2</v>
      </c>
      <c r="E37" s="20">
        <v>5523921.29</v>
      </c>
      <c r="F37" s="20">
        <f t="shared" si="2"/>
        <v>10364.740000000224</v>
      </c>
      <c r="G37" s="20">
        <f t="shared" si="3"/>
        <v>2761.05</v>
      </c>
      <c r="H37" s="17">
        <v>46265</v>
      </c>
      <c r="I37" s="18">
        <f t="shared" si="4"/>
        <v>6</v>
      </c>
      <c r="J37" s="20">
        <f t="shared" si="5"/>
        <v>552.21</v>
      </c>
    </row>
    <row r="38" spans="1:12" x14ac:dyDescent="0.3">
      <c r="A38" s="332">
        <v>46260</v>
      </c>
      <c r="B38" s="332">
        <f t="shared" si="0"/>
        <v>46293</v>
      </c>
      <c r="C38" s="340">
        <f t="shared" si="1"/>
        <v>33</v>
      </c>
      <c r="D38" s="4">
        <v>2.3093680000000005E-2</v>
      </c>
      <c r="E38" s="20">
        <v>5513556.5499999998</v>
      </c>
      <c r="F38" s="20">
        <f t="shared" si="2"/>
        <v>8046.7900000000373</v>
      </c>
      <c r="G38" s="20">
        <f t="shared" si="3"/>
        <v>3031.45</v>
      </c>
      <c r="H38" s="17">
        <v>46295</v>
      </c>
      <c r="I38" s="18">
        <f t="shared" si="4"/>
        <v>3</v>
      </c>
      <c r="J38" s="20">
        <f t="shared" si="5"/>
        <v>275.58999999999997</v>
      </c>
    </row>
    <row r="39" spans="1:12" x14ac:dyDescent="0.3">
      <c r="A39" s="332">
        <v>46293</v>
      </c>
      <c r="B39" s="332">
        <f t="shared" si="0"/>
        <v>46321</v>
      </c>
      <c r="C39" s="340">
        <f t="shared" si="1"/>
        <v>28</v>
      </c>
      <c r="D39" s="4">
        <v>2.3093679999999995E-2</v>
      </c>
      <c r="E39" s="20">
        <v>5505509.7599999998</v>
      </c>
      <c r="F39" s="20">
        <f t="shared" si="2"/>
        <v>12016.230000000447</v>
      </c>
      <c r="G39" s="20">
        <f t="shared" si="3"/>
        <v>2568.39</v>
      </c>
      <c r="H39" s="17">
        <v>46326</v>
      </c>
      <c r="I39" s="18">
        <f t="shared" si="4"/>
        <v>6</v>
      </c>
      <c r="J39" s="20">
        <f t="shared" si="5"/>
        <v>550.37</v>
      </c>
    </row>
    <row r="40" spans="1:12" x14ac:dyDescent="0.3">
      <c r="A40" s="332">
        <v>46321</v>
      </c>
      <c r="B40" s="332">
        <f t="shared" si="0"/>
        <v>46352</v>
      </c>
      <c r="C40" s="340">
        <f t="shared" si="1"/>
        <v>31</v>
      </c>
      <c r="D40" s="4">
        <v>2.3093680000000005E-2</v>
      </c>
      <c r="E40" s="20">
        <v>5493493.5299999993</v>
      </c>
      <c r="F40" s="20">
        <f t="shared" si="2"/>
        <v>9710.519999999553</v>
      </c>
      <c r="G40" s="20">
        <f t="shared" si="3"/>
        <v>2837.37</v>
      </c>
      <c r="H40" s="17">
        <v>46356</v>
      </c>
      <c r="I40" s="18">
        <f t="shared" si="4"/>
        <v>5</v>
      </c>
      <c r="J40" s="20">
        <f t="shared" si="5"/>
        <v>457.64</v>
      </c>
    </row>
    <row r="41" spans="1:12" x14ac:dyDescent="0.3">
      <c r="A41" s="332">
        <v>46352</v>
      </c>
      <c r="B41" s="332">
        <f t="shared" si="0"/>
        <v>46385</v>
      </c>
      <c r="C41" s="340">
        <f t="shared" si="1"/>
        <v>33</v>
      </c>
      <c r="D41" s="4">
        <v>2.3093680000000005E-2</v>
      </c>
      <c r="E41" s="20">
        <v>5483783.0099999998</v>
      </c>
      <c r="F41" s="20">
        <f t="shared" si="2"/>
        <v>5483783.0099999998</v>
      </c>
      <c r="G41" s="20">
        <f t="shared" si="3"/>
        <v>3015.08</v>
      </c>
      <c r="H41" s="17">
        <v>46387</v>
      </c>
      <c r="I41" s="18">
        <f t="shared" si="4"/>
        <v>3</v>
      </c>
      <c r="J41" s="20">
        <f t="shared" si="5"/>
        <v>274.10000000000002</v>
      </c>
    </row>
    <row r="42" spans="1:12" x14ac:dyDescent="0.3">
      <c r="A42" s="332">
        <v>46385</v>
      </c>
      <c r="B42" s="332" t="s">
        <v>7</v>
      </c>
      <c r="C42" s="340"/>
      <c r="D42" s="4">
        <v>2.3012390000000001E-2</v>
      </c>
      <c r="E42" s="20"/>
      <c r="F42" s="20" t="str">
        <f>IF(E42="","",E42-#REF!)</f>
        <v/>
      </c>
      <c r="G42" s="20">
        <f t="shared" si="3"/>
        <v>0</v>
      </c>
      <c r="H42" s="17"/>
      <c r="I42" s="18"/>
      <c r="J42" s="20">
        <f t="shared" si="5"/>
        <v>0</v>
      </c>
    </row>
    <row r="43" spans="1:12" x14ac:dyDescent="0.3">
      <c r="A43" s="21"/>
      <c r="B43" s="21"/>
      <c r="C43" s="21" t="s">
        <v>257</v>
      </c>
      <c r="D43" s="21"/>
      <c r="E43" s="21"/>
      <c r="F43" s="21"/>
      <c r="G43" s="21"/>
    </row>
    <row r="44" spans="1:12" ht="33.6" customHeight="1" x14ac:dyDescent="0.35">
      <c r="A44" s="428" t="s">
        <v>6</v>
      </c>
      <c r="B44" s="428"/>
      <c r="C44" s="428"/>
      <c r="D44" s="428"/>
      <c r="E44" s="428"/>
      <c r="F44" s="428"/>
      <c r="G44" s="22"/>
      <c r="I44" s="22"/>
      <c r="J44" s="23"/>
    </row>
    <row r="45" spans="1:12" ht="229.8" customHeight="1" x14ac:dyDescent="0.35">
      <c r="A45" s="412" t="s">
        <v>5</v>
      </c>
      <c r="B45" s="412"/>
      <c r="C45" s="412"/>
      <c r="D45" s="412"/>
      <c r="E45" s="412"/>
      <c r="F45" s="412"/>
      <c r="G45" s="24"/>
      <c r="H45" s="22"/>
      <c r="I45" s="24"/>
      <c r="J45" s="25"/>
    </row>
    <row r="46" spans="1:12" ht="15" x14ac:dyDescent="0.35">
      <c r="H46" s="24"/>
    </row>
    <row r="139" spans="1:12" ht="16.5" customHeight="1" x14ac:dyDescent="0.3"/>
    <row r="140" spans="1:12" s="23" customFormat="1" ht="30" customHeight="1" x14ac:dyDescent="0.35">
      <c r="A140" s="8"/>
      <c r="B140" s="8"/>
      <c r="C140" s="8"/>
      <c r="D140" s="8"/>
      <c r="E140" s="8"/>
      <c r="F140" s="8"/>
      <c r="G140" s="8"/>
      <c r="H140" s="9"/>
      <c r="I140" s="9"/>
      <c r="J140" s="9"/>
    </row>
    <row r="141" spans="1:12" s="25" customFormat="1" ht="190.95" customHeight="1" x14ac:dyDescent="0.3">
      <c r="A141" s="8"/>
      <c r="B141" s="8"/>
      <c r="C141" s="8"/>
      <c r="D141" s="8"/>
      <c r="E141" s="8"/>
      <c r="F141" s="8"/>
      <c r="G141" s="8"/>
      <c r="H141" s="9"/>
      <c r="I141" s="9"/>
      <c r="J141" s="9"/>
      <c r="K141" s="25" t="s">
        <v>142</v>
      </c>
      <c r="L141" s="25" t="s">
        <v>143</v>
      </c>
    </row>
    <row r="143" spans="1:12" x14ac:dyDescent="0.3">
      <c r="K143" s="9" t="s">
        <v>145</v>
      </c>
      <c r="L143" s="9" t="s">
        <v>146</v>
      </c>
    </row>
    <row r="144" spans="1:12" x14ac:dyDescent="0.3">
      <c r="K144" s="9" t="s">
        <v>148</v>
      </c>
      <c r="L144" s="9" t="s">
        <v>149</v>
      </c>
    </row>
    <row r="145" spans="11:12" x14ac:dyDescent="0.3">
      <c r="K145" s="9" t="s">
        <v>151</v>
      </c>
      <c r="L145" s="9" t="s">
        <v>152</v>
      </c>
    </row>
    <row r="146" spans="11:12" x14ac:dyDescent="0.3">
      <c r="K146" s="9" t="s">
        <v>154</v>
      </c>
      <c r="L146" s="9" t="s">
        <v>155</v>
      </c>
    </row>
    <row r="147" spans="11:12" x14ac:dyDescent="0.3">
      <c r="K147" s="9" t="s">
        <v>157</v>
      </c>
      <c r="L147" s="9" t="s">
        <v>158</v>
      </c>
    </row>
    <row r="148" spans="11:12" x14ac:dyDescent="0.3">
      <c r="K148" s="9" t="s">
        <v>160</v>
      </c>
      <c r="L148" s="9" t="s">
        <v>161</v>
      </c>
    </row>
    <row r="149" spans="11:12" x14ac:dyDescent="0.3">
      <c r="K149" s="9" t="s">
        <v>163</v>
      </c>
      <c r="L149" s="9" t="s">
        <v>164</v>
      </c>
    </row>
    <row r="150" spans="11:12" x14ac:dyDescent="0.3">
      <c r="K150" s="9" t="s">
        <v>166</v>
      </c>
      <c r="L150" s="9" t="s">
        <v>167</v>
      </c>
    </row>
    <row r="151" spans="11:12" x14ac:dyDescent="0.3">
      <c r="K151" s="9" t="s">
        <v>169</v>
      </c>
      <c r="L151" s="9" t="s">
        <v>170</v>
      </c>
    </row>
    <row r="152" spans="11:12" x14ac:dyDescent="0.3">
      <c r="K152" s="9" t="s">
        <v>172</v>
      </c>
      <c r="L152" s="9" t="s">
        <v>173</v>
      </c>
    </row>
    <row r="153" spans="11:12" x14ac:dyDescent="0.3">
      <c r="K153" s="9" t="s">
        <v>175</v>
      </c>
      <c r="L153" s="9" t="s">
        <v>176</v>
      </c>
    </row>
    <row r="154" spans="11:12" x14ac:dyDescent="0.3">
      <c r="K154" s="9" t="s">
        <v>178</v>
      </c>
      <c r="L154" s="9" t="s">
        <v>179</v>
      </c>
    </row>
    <row r="156" spans="11:12" x14ac:dyDescent="0.3">
      <c r="K156" s="9" t="s">
        <v>181</v>
      </c>
      <c r="L156" s="9" t="s">
        <v>182</v>
      </c>
    </row>
    <row r="157" spans="11:12" x14ac:dyDescent="0.3">
      <c r="K157" s="9" t="s">
        <v>184</v>
      </c>
      <c r="L157" s="9" t="s">
        <v>185</v>
      </c>
    </row>
    <row r="158" spans="11:12" x14ac:dyDescent="0.3">
      <c r="K158" s="9" t="s">
        <v>187</v>
      </c>
      <c r="L158" s="9" t="s">
        <v>188</v>
      </c>
    </row>
    <row r="159" spans="11:12" x14ac:dyDescent="0.3">
      <c r="K159" s="9" t="s">
        <v>190</v>
      </c>
      <c r="L159" s="9" t="s">
        <v>191</v>
      </c>
    </row>
    <row r="160" spans="11:12" x14ac:dyDescent="0.3">
      <c r="K160" s="9" t="s">
        <v>193</v>
      </c>
      <c r="L160" s="9" t="s">
        <v>194</v>
      </c>
    </row>
    <row r="161" spans="11:12" x14ac:dyDescent="0.3">
      <c r="K161" s="9" t="s">
        <v>196</v>
      </c>
      <c r="L161" s="9" t="s">
        <v>197</v>
      </c>
    </row>
    <row r="162" spans="11:12" x14ac:dyDescent="0.3">
      <c r="K162" s="9" t="s">
        <v>199</v>
      </c>
      <c r="L162" s="9" t="s">
        <v>200</v>
      </c>
    </row>
    <row r="163" spans="11:12" x14ac:dyDescent="0.3">
      <c r="K163" s="9" t="s">
        <v>202</v>
      </c>
      <c r="L163" s="9" t="s">
        <v>203</v>
      </c>
    </row>
    <row r="164" spans="11:12" x14ac:dyDescent="0.3">
      <c r="K164" s="9" t="s">
        <v>205</v>
      </c>
      <c r="L164" s="9" t="s">
        <v>206</v>
      </c>
    </row>
    <row r="165" spans="11:12" x14ac:dyDescent="0.3">
      <c r="K165" s="9" t="s">
        <v>208</v>
      </c>
      <c r="L165" s="9" t="s">
        <v>209</v>
      </c>
    </row>
    <row r="166" spans="11:12" x14ac:dyDescent="0.3">
      <c r="K166" s="9" t="s">
        <v>211</v>
      </c>
      <c r="L166" s="9" t="s">
        <v>212</v>
      </c>
    </row>
    <row r="167" spans="11:12" x14ac:dyDescent="0.3">
      <c r="K167" s="9" t="s">
        <v>214</v>
      </c>
      <c r="L167" s="9" t="s">
        <v>215</v>
      </c>
    </row>
  </sheetData>
  <sheetProtection selectLockedCells="1"/>
  <protectedRanges>
    <protectedRange password="C59C" sqref="B43:D43 E18:F43 G43 C17:C42" name="Range1_1"/>
    <protectedRange password="C59C" sqref="B18:B42" name="Range1_1_1"/>
  </protectedRanges>
  <mergeCells count="4">
    <mergeCell ref="A44:F44"/>
    <mergeCell ref="A45:F45"/>
    <mergeCell ref="A15:B15"/>
    <mergeCell ref="A2:B2"/>
  </mergeCells>
  <pageMargins left="0.74803149606299213" right="0.74803149606299213" top="0.98425196850393704" bottom="0.98425196850393704" header="0.51181102362204722" footer="0.51181102362204722"/>
  <pageSetup paperSize="5" fitToHeight="0" orientation="landscape"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E1AD1-DFF3-48C4-AAB0-6ADA71B1BA9F}">
  <sheetPr>
    <pageSetUpPr fitToPage="1"/>
  </sheetPr>
  <dimension ref="A1:W60"/>
  <sheetViews>
    <sheetView showGridLines="0" zoomScale="115" zoomScaleNormal="115" workbookViewId="0">
      <pane ySplit="15" topLeftCell="A16" activePane="bottomLeft" state="frozen"/>
      <selection pane="bottomLeft" activeCell="T7" sqref="T7"/>
    </sheetView>
  </sheetViews>
  <sheetFormatPr baseColWidth="10" defaultColWidth="9.109375" defaultRowHeight="13.2" outlineLevelCol="1" x14ac:dyDescent="0.25"/>
  <cols>
    <col min="1" max="1" width="14.33203125" style="235" hidden="1" customWidth="1" outlineLevel="1"/>
    <col min="2" max="2" width="3.109375" style="37" hidden="1" customWidth="1" outlineLevel="1"/>
    <col min="3" max="3" width="16.6640625" style="39" customWidth="1" collapsed="1"/>
    <col min="4" max="4" width="11.109375" style="39" customWidth="1"/>
    <col min="5" max="5" width="18.44140625" style="39" customWidth="1"/>
    <col min="6" max="6" width="18.109375" style="39" customWidth="1"/>
    <col min="7" max="7" width="1.6640625" style="39" customWidth="1"/>
    <col min="8" max="8" width="19.33203125" style="39" customWidth="1"/>
    <col min="9" max="9" width="18.6640625" style="39" bestFit="1" customWidth="1"/>
    <col min="10" max="10" width="15.88671875" style="83" customWidth="1"/>
    <col min="11" max="11" width="15.44140625" style="39" customWidth="1"/>
    <col min="12" max="12" width="1.6640625" style="39" customWidth="1"/>
    <col min="13" max="13" width="12.6640625" style="39" bestFit="1" customWidth="1"/>
    <col min="14" max="14" width="14.5546875" style="39" bestFit="1" customWidth="1"/>
    <col min="15" max="15" width="13.44140625" style="39" customWidth="1"/>
    <col min="16" max="16" width="1.6640625" style="39" customWidth="1"/>
    <col min="17" max="17" width="21.6640625" style="39" bestFit="1" customWidth="1"/>
    <col min="18" max="18" width="1.6640625" style="39" customWidth="1"/>
    <col min="19" max="19" width="11.5546875" style="39" bestFit="1" customWidth="1"/>
    <col min="20" max="20" width="9.109375" style="39"/>
    <col min="21" max="21" width="15.44140625" style="39" bestFit="1" customWidth="1"/>
    <col min="22" max="22" width="14.109375" style="39" bestFit="1" customWidth="1"/>
    <col min="23" max="23" width="9" style="39" bestFit="1" customWidth="1"/>
    <col min="24" max="16384" width="9.109375" style="39"/>
  </cols>
  <sheetData>
    <row r="1" spans="1:23" ht="4.5" customHeight="1" x14ac:dyDescent="0.25">
      <c r="C1" s="38"/>
      <c r="D1" s="38"/>
      <c r="E1" s="38"/>
      <c r="J1" s="39"/>
    </row>
    <row r="2" spans="1:23" x14ac:dyDescent="0.25">
      <c r="C2" s="40" t="s">
        <v>29</v>
      </c>
      <c r="D2" s="41"/>
      <c r="E2" s="42"/>
      <c r="J2" s="39"/>
    </row>
    <row r="3" spans="1:23" x14ac:dyDescent="0.25">
      <c r="C3" s="43"/>
      <c r="D3" s="44" t="s">
        <v>30</v>
      </c>
      <c r="E3" s="45">
        <f>E5-E4</f>
        <v>2.9045299999999996E-2</v>
      </c>
      <c r="I3" s="49"/>
      <c r="J3" s="361"/>
    </row>
    <row r="4" spans="1:23" ht="12" customHeight="1" x14ac:dyDescent="0.25">
      <c r="C4" s="46"/>
      <c r="D4" s="47" t="s">
        <v>31</v>
      </c>
      <c r="E4" s="48">
        <v>2.2954700000000001E-2</v>
      </c>
      <c r="H4" s="49"/>
      <c r="I4" s="362"/>
      <c r="J4" s="39"/>
      <c r="K4" s="49"/>
      <c r="L4" s="49"/>
      <c r="M4" s="49"/>
      <c r="N4" s="49"/>
      <c r="O4" s="49"/>
      <c r="P4" s="49"/>
      <c r="Q4" s="49"/>
    </row>
    <row r="5" spans="1:23" ht="13.8" thickBot="1" x14ac:dyDescent="0.3">
      <c r="C5" s="50"/>
      <c r="D5" s="44" t="s">
        <v>32</v>
      </c>
      <c r="E5" s="51">
        <v>5.1999999999999998E-2</v>
      </c>
      <c r="H5" s="362"/>
      <c r="I5" s="54"/>
      <c r="J5" s="54"/>
      <c r="L5" s="52"/>
      <c r="M5" s="52"/>
      <c r="N5" s="52"/>
      <c r="O5" s="52"/>
      <c r="P5" s="52"/>
      <c r="Q5" s="52"/>
      <c r="R5" s="52"/>
    </row>
    <row r="6" spans="1:23" ht="13.8" thickTop="1" x14ac:dyDescent="0.25">
      <c r="A6" s="236"/>
      <c r="C6" s="50"/>
      <c r="D6" s="44" t="s">
        <v>33</v>
      </c>
      <c r="E6" s="53">
        <f>C41</f>
        <v>46413</v>
      </c>
      <c r="H6" s="54"/>
      <c r="I6" s="54"/>
      <c r="J6" s="39"/>
      <c r="K6" s="44"/>
    </row>
    <row r="7" spans="1:23" x14ac:dyDescent="0.25">
      <c r="C7" s="55"/>
      <c r="D7" s="56" t="s">
        <v>34</v>
      </c>
      <c r="E7" s="57">
        <v>300</v>
      </c>
      <c r="F7" s="58"/>
      <c r="H7" s="54"/>
      <c r="I7" s="54"/>
      <c r="J7" s="39"/>
      <c r="K7" s="44"/>
    </row>
    <row r="8" spans="1:23" x14ac:dyDescent="0.25">
      <c r="D8" s="44"/>
      <c r="E8" s="54"/>
      <c r="H8" s="54"/>
      <c r="I8" s="54"/>
      <c r="J8" s="39"/>
      <c r="K8" s="44"/>
    </row>
    <row r="9" spans="1:23" ht="17.25" customHeight="1" x14ac:dyDescent="0.25">
      <c r="C9" s="59" t="s">
        <v>35</v>
      </c>
      <c r="D9" s="60"/>
      <c r="E9" s="60"/>
      <c r="G9" s="52"/>
      <c r="H9" s="52"/>
      <c r="I9" s="52"/>
      <c r="J9" s="61" t="s">
        <v>36</v>
      </c>
      <c r="K9" s="61" t="s">
        <v>37</v>
      </c>
      <c r="L9" s="52"/>
      <c r="M9" s="52"/>
      <c r="O9" s="61" t="s">
        <v>38</v>
      </c>
      <c r="Q9" s="62" t="s">
        <v>39</v>
      </c>
      <c r="R9" s="52"/>
    </row>
    <row r="10" spans="1:23" ht="18.75" customHeight="1" x14ac:dyDescent="0.25">
      <c r="C10" s="59"/>
      <c r="D10" s="44"/>
      <c r="E10" s="63"/>
      <c r="H10" s="64" t="s">
        <v>40</v>
      </c>
      <c r="I10" s="65"/>
      <c r="J10" s="66"/>
      <c r="K10" s="67"/>
      <c r="L10" s="66"/>
      <c r="M10" s="66"/>
      <c r="N10" s="68"/>
      <c r="O10" s="69"/>
      <c r="Q10" s="70"/>
    </row>
    <row r="11" spans="1:23" ht="4.5" customHeight="1" x14ac:dyDescent="0.25">
      <c r="C11" s="59"/>
      <c r="D11" s="44"/>
      <c r="E11" s="63"/>
      <c r="H11" s="63"/>
      <c r="I11" s="63"/>
      <c r="J11" s="39"/>
      <c r="K11" s="70"/>
      <c r="N11" s="71"/>
      <c r="O11" s="70"/>
      <c r="Q11" s="70"/>
    </row>
    <row r="12" spans="1:23" s="36" customFormat="1" ht="45" customHeight="1" x14ac:dyDescent="0.25">
      <c r="A12" s="235"/>
      <c r="B12" s="37"/>
      <c r="C12" s="72" t="s">
        <v>41</v>
      </c>
      <c r="D12" s="73"/>
      <c r="E12" s="74"/>
      <c r="F12" s="74"/>
      <c r="H12" s="72" t="s">
        <v>42</v>
      </c>
      <c r="I12" s="75"/>
      <c r="J12" s="76"/>
      <c r="K12" s="75"/>
      <c r="M12" s="72" t="s">
        <v>43</v>
      </c>
      <c r="N12" s="76"/>
      <c r="O12" s="77"/>
      <c r="P12" s="78"/>
      <c r="Q12" s="79" t="s">
        <v>44</v>
      </c>
      <c r="S12" s="275" t="s">
        <v>227</v>
      </c>
      <c r="T12" s="275"/>
      <c r="U12" s="275"/>
      <c r="V12" s="275"/>
      <c r="W12" s="275"/>
    </row>
    <row r="13" spans="1:23" ht="12" customHeight="1" x14ac:dyDescent="0.25">
      <c r="B13" s="36"/>
      <c r="D13" s="60"/>
      <c r="E13" s="60"/>
      <c r="H13" s="52"/>
      <c r="I13" s="52"/>
      <c r="J13" s="39"/>
      <c r="L13" s="52"/>
      <c r="M13" s="52"/>
      <c r="N13" s="52"/>
      <c r="P13" s="52"/>
      <c r="R13" s="52"/>
    </row>
    <row r="14" spans="1:23" ht="2.25" customHeight="1" x14ac:dyDescent="0.25">
      <c r="J14" s="39"/>
    </row>
    <row r="15" spans="1:23" s="83" customFormat="1" ht="28.5" customHeight="1" x14ac:dyDescent="0.25">
      <c r="A15" s="237"/>
      <c r="B15" s="80"/>
      <c r="C15" s="81" t="s">
        <v>45</v>
      </c>
      <c r="D15" s="81" t="s">
        <v>46</v>
      </c>
      <c r="E15" s="82" t="s">
        <v>47</v>
      </c>
      <c r="F15" s="82" t="s">
        <v>48</v>
      </c>
      <c r="H15" s="82" t="s">
        <v>116</v>
      </c>
      <c r="I15" s="82" t="s">
        <v>49</v>
      </c>
      <c r="J15" s="82" t="s">
        <v>50</v>
      </c>
      <c r="K15" s="82" t="s">
        <v>51</v>
      </c>
      <c r="L15" s="84"/>
      <c r="M15" s="81" t="s">
        <v>52</v>
      </c>
      <c r="N15" s="81" t="s">
        <v>53</v>
      </c>
      <c r="O15" s="82" t="s">
        <v>54</v>
      </c>
      <c r="P15" s="84"/>
      <c r="Q15" s="81" t="s">
        <v>55</v>
      </c>
      <c r="R15" s="84"/>
      <c r="S15" s="81" t="s">
        <v>45</v>
      </c>
      <c r="T15" s="81" t="s">
        <v>46</v>
      </c>
      <c r="U15" s="81" t="s">
        <v>52</v>
      </c>
      <c r="V15" s="81" t="s">
        <v>53</v>
      </c>
      <c r="W15" s="82" t="s">
        <v>54</v>
      </c>
    </row>
    <row r="16" spans="1:23" x14ac:dyDescent="0.25">
      <c r="A16" s="238">
        <f>E16</f>
        <v>3800000</v>
      </c>
      <c r="B16" s="85"/>
      <c r="C16" s="86">
        <v>45674</v>
      </c>
      <c r="D16" s="97"/>
      <c r="E16" s="88">
        <v>3800000</v>
      </c>
      <c r="F16" s="89">
        <f>E16</f>
        <v>3800000</v>
      </c>
      <c r="H16" s="90"/>
      <c r="I16" s="91">
        <f>E16</f>
        <v>3800000</v>
      </c>
      <c r="J16" s="92"/>
      <c r="K16" s="93"/>
      <c r="L16" s="52"/>
      <c r="M16" s="92"/>
      <c r="N16" s="92"/>
      <c r="O16" s="92"/>
      <c r="P16" s="94"/>
      <c r="Q16" s="95">
        <f>E16</f>
        <v>3800000</v>
      </c>
      <c r="R16" s="52"/>
      <c r="S16" s="92"/>
      <c r="T16" s="93"/>
      <c r="U16" s="92"/>
      <c r="V16" s="92"/>
      <c r="W16" s="92"/>
    </row>
    <row r="17" spans="1:23" x14ac:dyDescent="0.25">
      <c r="A17" s="239">
        <f>A16+(A16*$E$5*D17/365)+F17</f>
        <v>3793807.2089643744</v>
      </c>
      <c r="B17" s="96"/>
      <c r="C17" s="86">
        <v>45684</v>
      </c>
      <c r="D17" s="97">
        <f>C17-C16</f>
        <v>10</v>
      </c>
      <c r="E17" s="91">
        <f>ROUND(A17,0)</f>
        <v>3793807</v>
      </c>
      <c r="F17" s="89">
        <f>PMT($E$5/12,$E$7,$F$16,0)+(E16*E5/12)-(E16*E5*D17/365)</f>
        <v>-11606.489665762641</v>
      </c>
      <c r="H17" s="251">
        <v>3.8017518E-2</v>
      </c>
      <c r="I17" s="91">
        <f>E17</f>
        <v>3793807</v>
      </c>
      <c r="J17" s="99">
        <f>-(E16-E17)</f>
        <v>-6193</v>
      </c>
      <c r="K17" s="100">
        <f>-(E16*(H17+$E$4)*D17/365)</f>
        <v>-6347.7925589041097</v>
      </c>
      <c r="L17" s="101"/>
      <c r="M17" s="94">
        <f>(H17+$E$4)*D17/365*E16</f>
        <v>6347.7925589041097</v>
      </c>
      <c r="N17" s="94">
        <f>-($E$5*E16*D17/365)</f>
        <v>-5413.6986301369861</v>
      </c>
      <c r="O17" s="99">
        <f>M17+N17</f>
        <v>934.09392876712354</v>
      </c>
      <c r="P17" s="101"/>
      <c r="Q17" s="95">
        <f>J17+K17+O17</f>
        <v>-11606.698630136987</v>
      </c>
      <c r="R17" s="102"/>
      <c r="S17" s="276">
        <v>45688</v>
      </c>
      <c r="T17" s="97">
        <f>S17-C17+1</f>
        <v>5</v>
      </c>
      <c r="U17" s="94">
        <f>(H17+$E$4)*T17/365*E16</f>
        <v>3173.8962794520548</v>
      </c>
      <c r="V17" s="94">
        <f>-(($E$3+$E$4)*T17/365*E16)</f>
        <v>-2706.8493150684931</v>
      </c>
      <c r="W17" s="94">
        <f>U17+V17</f>
        <v>467.04696438356177</v>
      </c>
    </row>
    <row r="18" spans="1:23" x14ac:dyDescent="0.25">
      <c r="A18" s="239">
        <f t="shared" ref="A18:A41" si="0">A17+(A17*$E$5/12)+F18</f>
        <v>3787587.5825009281</v>
      </c>
      <c r="B18" s="96"/>
      <c r="C18" s="86">
        <v>45714</v>
      </c>
      <c r="D18" s="97">
        <f>C18-C17</f>
        <v>30</v>
      </c>
      <c r="E18" s="91">
        <f>ROUND(A18,0)</f>
        <v>3787588</v>
      </c>
      <c r="F18" s="89">
        <f>PMT($E$5/12,$E$7,$F$16,0)</f>
        <v>-22659.457702292322</v>
      </c>
      <c r="H18" s="98">
        <v>3.0860346666666701E-2</v>
      </c>
      <c r="I18" s="91">
        <f t="shared" ref="I18:I41" si="1">E18</f>
        <v>3787588</v>
      </c>
      <c r="J18" s="99">
        <f t="shared" ref="J18:J41" si="2">-(E17-E18)</f>
        <v>-6219</v>
      </c>
      <c r="K18" s="100">
        <f t="shared" ref="K18:K41" si="3">-(E17*(H18+$E$4)*D18/365)</f>
        <v>-16780.594582136451</v>
      </c>
      <c r="L18" s="101"/>
      <c r="M18" s="94">
        <f>(H18+$E$4)*D18/365*E17</f>
        <v>16780.594582136448</v>
      </c>
      <c r="N18" s="94">
        <f>-($E$5*E17/12)</f>
        <v>-16439.830333333332</v>
      </c>
      <c r="O18" s="99">
        <f t="shared" ref="O18:O41" si="4">M18+N18</f>
        <v>340.76424880311606</v>
      </c>
      <c r="P18" s="101"/>
      <c r="Q18" s="95">
        <f>J18+K18+O18</f>
        <v>-22658.830333333335</v>
      </c>
      <c r="R18" s="102"/>
      <c r="S18" s="276">
        <v>45716</v>
      </c>
      <c r="T18" s="97">
        <f t="shared" ref="T18:T41" si="5">S18-C18+1</f>
        <v>3</v>
      </c>
      <c r="U18" s="94">
        <f t="shared" ref="U18:U41" si="6">(H18+$E$4)*T18/365*E17</f>
        <v>1678.0594582136448</v>
      </c>
      <c r="V18" s="94">
        <f t="shared" ref="V18:V41" si="7">-(($E$3+$E$4)*T18/365*E17)</f>
        <v>-1621.4627178082192</v>
      </c>
      <c r="W18" s="94">
        <f t="shared" ref="W18:W41" si="8">U18+V18</f>
        <v>56.596740405425635</v>
      </c>
    </row>
    <row r="19" spans="1:23" x14ac:dyDescent="0.25">
      <c r="A19" s="239">
        <f t="shared" si="0"/>
        <v>3781341.0043228068</v>
      </c>
      <c r="B19" s="96"/>
      <c r="C19" s="86">
        <v>45742</v>
      </c>
      <c r="D19" s="97">
        <f t="shared" ref="D19:D41" si="9">C19-C18</f>
        <v>28</v>
      </c>
      <c r="E19" s="91">
        <f t="shared" ref="E19:E41" si="10">ROUND(A19,0)</f>
        <v>3781341</v>
      </c>
      <c r="F19" s="89">
        <f>PMT($E$5/12,$E$7,$F$16,0)</f>
        <v>-22659.457702292322</v>
      </c>
      <c r="H19" s="98">
        <v>2.9343680000000014E-2</v>
      </c>
      <c r="I19" s="91">
        <f t="shared" si="1"/>
        <v>3781341</v>
      </c>
      <c r="J19" s="99">
        <f t="shared" si="2"/>
        <v>-6247</v>
      </c>
      <c r="K19" s="100">
        <f t="shared" si="3"/>
        <v>-15195.539896461158</v>
      </c>
      <c r="L19" s="101"/>
      <c r="M19" s="94">
        <f t="shared" ref="M19:M41" si="11">(H19+$E$4)*D19/365*E18</f>
        <v>15195.539896461154</v>
      </c>
      <c r="N19" s="94">
        <f>-($E$5*E18/12)</f>
        <v>-16412.881333333335</v>
      </c>
      <c r="O19" s="99">
        <f t="shared" si="4"/>
        <v>-1217.3414368721806</v>
      </c>
      <c r="P19" s="101"/>
      <c r="Q19" s="95">
        <f>J19+K19+O19</f>
        <v>-22659.881333333338</v>
      </c>
      <c r="R19" s="102"/>
      <c r="S19" s="276">
        <v>45747</v>
      </c>
      <c r="T19" s="97">
        <f t="shared" si="5"/>
        <v>6</v>
      </c>
      <c r="U19" s="94">
        <f t="shared" si="6"/>
        <v>3256.1871206702472</v>
      </c>
      <c r="V19" s="94">
        <f t="shared" si="7"/>
        <v>-3237.6094684931509</v>
      </c>
      <c r="W19" s="94">
        <f t="shared" si="8"/>
        <v>18.577652177096297</v>
      </c>
    </row>
    <row r="20" spans="1:23" x14ac:dyDescent="0.25">
      <c r="A20" s="239">
        <f>A19+(A19*$E$5/12)+F20</f>
        <v>3775067.3576392471</v>
      </c>
      <c r="B20" s="103"/>
      <c r="C20" s="86">
        <v>45775</v>
      </c>
      <c r="D20" s="97">
        <f t="shared" si="9"/>
        <v>33</v>
      </c>
      <c r="E20" s="91">
        <f>ROUND(A20,0)</f>
        <v>3775067</v>
      </c>
      <c r="F20" s="89">
        <f t="shared" ref="F20:F41" si="12">PMT($E$5/12,$E$7,$F$16,0)</f>
        <v>-22659.457702292322</v>
      </c>
      <c r="H20" s="98">
        <v>2.7184589090909105E-2</v>
      </c>
      <c r="I20" s="91">
        <f>E20</f>
        <v>3775067</v>
      </c>
      <c r="J20" s="99">
        <f t="shared" si="2"/>
        <v>-6274</v>
      </c>
      <c r="K20" s="100">
        <f t="shared" si="3"/>
        <v>-17141.352699068881</v>
      </c>
      <c r="L20" s="101"/>
      <c r="M20" s="94">
        <f t="shared" si="11"/>
        <v>17141.352699068881</v>
      </c>
      <c r="N20" s="94">
        <f t="shared" ref="N20:N41" si="13">-($E$5*E19/12)</f>
        <v>-16385.810999999998</v>
      </c>
      <c r="O20" s="99">
        <f t="shared" si="4"/>
        <v>755.54169906888274</v>
      </c>
      <c r="P20" s="101"/>
      <c r="Q20" s="95">
        <f t="shared" ref="Q20:Q41" si="14">J20+K20+O20</f>
        <v>-22659.810999999998</v>
      </c>
      <c r="R20" s="102"/>
      <c r="S20" s="276">
        <v>45777</v>
      </c>
      <c r="T20" s="97">
        <f t="shared" si="5"/>
        <v>3</v>
      </c>
      <c r="U20" s="94">
        <f t="shared" si="6"/>
        <v>1558.3047908244439</v>
      </c>
      <c r="V20" s="94">
        <f t="shared" si="7"/>
        <v>-1616.1347835616439</v>
      </c>
      <c r="W20" s="94">
        <f t="shared" si="8"/>
        <v>-57.829992737199973</v>
      </c>
    </row>
    <row r="21" spans="1:23" x14ac:dyDescent="0.25">
      <c r="A21" s="239">
        <f>A20+(A20*$E$5/12)+F21</f>
        <v>3768766.5251533915</v>
      </c>
      <c r="B21" s="104"/>
      <c r="C21" s="86">
        <v>45803</v>
      </c>
      <c r="D21" s="97">
        <f t="shared" si="9"/>
        <v>28</v>
      </c>
      <c r="E21" s="91">
        <f t="shared" si="10"/>
        <v>3768767</v>
      </c>
      <c r="F21" s="89">
        <f t="shared" si="12"/>
        <v>-22659.457702292322</v>
      </c>
      <c r="H21" s="98">
        <v>2.5593680000000001E-2</v>
      </c>
      <c r="I21" s="91">
        <f t="shared" si="1"/>
        <v>3768767</v>
      </c>
      <c r="J21" s="99">
        <f>-(E20-E21)</f>
        <v>-6300</v>
      </c>
      <c r="K21" s="100">
        <f t="shared" si="3"/>
        <v>-14059.32833633118</v>
      </c>
      <c r="L21" s="101"/>
      <c r="M21" s="94">
        <f>(H21+$E$4)*D21/365*E20</f>
        <v>14059.328336331178</v>
      </c>
      <c r="N21" s="94">
        <f t="shared" si="13"/>
        <v>-16358.623666666666</v>
      </c>
      <c r="O21" s="99">
        <f t="shared" si="4"/>
        <v>-2299.295330335488</v>
      </c>
      <c r="P21" s="101"/>
      <c r="Q21" s="95">
        <f t="shared" si="14"/>
        <v>-22658.623666666666</v>
      </c>
      <c r="R21" s="102"/>
      <c r="S21" s="276">
        <v>45808</v>
      </c>
      <c r="T21" s="97">
        <f t="shared" si="5"/>
        <v>6</v>
      </c>
      <c r="U21" s="94">
        <f t="shared" si="6"/>
        <v>3012.7132149281101</v>
      </c>
      <c r="V21" s="94">
        <f t="shared" si="7"/>
        <v>-3226.9065863013698</v>
      </c>
      <c r="W21" s="94">
        <f t="shared" si="8"/>
        <v>-214.19337137325965</v>
      </c>
    </row>
    <row r="22" spans="1:23" x14ac:dyDescent="0.25">
      <c r="A22" s="239">
        <f>A21+(A21*$E$5/12)+F22</f>
        <v>3762438.3890600973</v>
      </c>
      <c r="B22" s="105"/>
      <c r="C22" s="86">
        <v>45834</v>
      </c>
      <c r="D22" s="97">
        <f>C22-C21</f>
        <v>31</v>
      </c>
      <c r="E22" s="91">
        <f>ROUND(A22,0)</f>
        <v>3762438</v>
      </c>
      <c r="F22" s="89">
        <f t="shared" si="12"/>
        <v>-22659.457702292322</v>
      </c>
      <c r="H22" s="98">
        <v>2.3819486451612904E-2</v>
      </c>
      <c r="I22" s="91">
        <f t="shared" si="1"/>
        <v>3762438</v>
      </c>
      <c r="J22" s="99">
        <f>-(E21-E22)</f>
        <v>-6329</v>
      </c>
      <c r="K22" s="100">
        <f>-(E21*(H22+$E$4)*D22/365)</f>
        <v>-14971.811838003454</v>
      </c>
      <c r="L22" s="101"/>
      <c r="M22" s="94">
        <f>(H22+$E$4)*D22/365*E21</f>
        <v>14971.811838003454</v>
      </c>
      <c r="N22" s="94">
        <f>-($E$5*E21/12)</f>
        <v>-16331.323666666665</v>
      </c>
      <c r="O22" s="99">
        <f t="shared" si="4"/>
        <v>-1359.5118286632114</v>
      </c>
      <c r="P22" s="101"/>
      <c r="Q22" s="95">
        <f t="shared" si="14"/>
        <v>-22660.323666666663</v>
      </c>
      <c r="R22" s="102"/>
      <c r="S22" s="276">
        <v>45838</v>
      </c>
      <c r="T22" s="97">
        <f t="shared" si="5"/>
        <v>5</v>
      </c>
      <c r="U22" s="94">
        <f>(H22+$E$4)*T22/365*E21</f>
        <v>2414.808360968299</v>
      </c>
      <c r="V22" s="94">
        <f>-(($E$3+$E$4)*T22/365*E21)</f>
        <v>-2684.6011506849313</v>
      </c>
      <c r="W22" s="94">
        <f t="shared" si="8"/>
        <v>-269.79278971663234</v>
      </c>
    </row>
    <row r="23" spans="1:23" x14ac:dyDescent="0.25">
      <c r="A23" s="239">
        <f t="shared" si="0"/>
        <v>3756082.8310437324</v>
      </c>
      <c r="B23" s="105"/>
      <c r="C23" s="86">
        <v>45866</v>
      </c>
      <c r="D23" s="97">
        <f t="shared" si="9"/>
        <v>32</v>
      </c>
      <c r="E23" s="91">
        <f>ROUND(A23,0)</f>
        <v>3756083</v>
      </c>
      <c r="F23" s="89">
        <f t="shared" si="12"/>
        <v>-22659.457702292322</v>
      </c>
      <c r="H23" s="98">
        <v>2.3093680000000005E-2</v>
      </c>
      <c r="I23" s="91">
        <f t="shared" si="1"/>
        <v>3756083</v>
      </c>
      <c r="J23" s="99">
        <f t="shared" si="2"/>
        <v>-6355</v>
      </c>
      <c r="K23" s="100">
        <f>-(E22*(H23+$E$4)*D23/365)</f>
        <v>-15189.40710140844</v>
      </c>
      <c r="L23" s="101"/>
      <c r="M23" s="94">
        <f>(H23+$E$4)*D23/365*E22</f>
        <v>15189.40710140844</v>
      </c>
      <c r="N23" s="94">
        <f t="shared" si="13"/>
        <v>-16303.897999999999</v>
      </c>
      <c r="O23" s="99">
        <f t="shared" si="4"/>
        <v>-1114.490898591559</v>
      </c>
      <c r="P23" s="101"/>
      <c r="Q23" s="95">
        <f t="shared" si="14"/>
        <v>-22658.898000000001</v>
      </c>
      <c r="R23" s="102"/>
      <c r="S23" s="276">
        <v>45869</v>
      </c>
      <c r="T23" s="97">
        <f t="shared" si="5"/>
        <v>4</v>
      </c>
      <c r="U23" s="94">
        <f t="shared" si="6"/>
        <v>1898.675887676055</v>
      </c>
      <c r="V23" s="94">
        <f t="shared" si="7"/>
        <v>-2144.0742575342465</v>
      </c>
      <c r="W23" s="94">
        <f t="shared" si="8"/>
        <v>-245.39836985819147</v>
      </c>
    </row>
    <row r="24" spans="1:23" x14ac:dyDescent="0.25">
      <c r="A24" s="239">
        <f t="shared" si="0"/>
        <v>3749699.7322759628</v>
      </c>
      <c r="B24" s="105"/>
      <c r="C24" s="86">
        <v>45895</v>
      </c>
      <c r="D24" s="97">
        <f t="shared" si="9"/>
        <v>29</v>
      </c>
      <c r="E24" s="91">
        <f t="shared" si="10"/>
        <v>3749700</v>
      </c>
      <c r="F24" s="89">
        <f t="shared" si="12"/>
        <v>-22659.457702292322</v>
      </c>
      <c r="H24" s="98">
        <v>2.3093680000000002E-2</v>
      </c>
      <c r="I24" s="91">
        <f t="shared" si="1"/>
        <v>3749700</v>
      </c>
      <c r="J24" s="99">
        <f t="shared" si="2"/>
        <v>-6383</v>
      </c>
      <c r="K24" s="100">
        <f>-(E23*(H24+$E$4)*D24/365)</f>
        <v>-13742.149538549755</v>
      </c>
      <c r="L24" s="101"/>
      <c r="M24" s="94">
        <f>(H24+$E$4)*D24/365*E23</f>
        <v>13742.149538549753</v>
      </c>
      <c r="N24" s="94">
        <f t="shared" si="13"/>
        <v>-16276.359666666665</v>
      </c>
      <c r="O24" s="99">
        <f t="shared" si="4"/>
        <v>-2534.2101281169125</v>
      </c>
      <c r="P24" s="101"/>
      <c r="Q24" s="95">
        <f t="shared" si="14"/>
        <v>-22659.359666666667</v>
      </c>
      <c r="R24" s="102"/>
      <c r="S24" s="276">
        <v>45900</v>
      </c>
      <c r="T24" s="97">
        <f t="shared" si="5"/>
        <v>6</v>
      </c>
      <c r="U24" s="94">
        <f t="shared" si="6"/>
        <v>2843.2033528033976</v>
      </c>
      <c r="V24" s="94">
        <f t="shared" si="7"/>
        <v>-3210.6791671232877</v>
      </c>
      <c r="W24" s="94">
        <f t="shared" si="8"/>
        <v>-367.47581431989011</v>
      </c>
    </row>
    <row r="25" spans="1:23" x14ac:dyDescent="0.25">
      <c r="A25" s="239">
        <f t="shared" si="0"/>
        <v>3743288.9734135331</v>
      </c>
      <c r="B25" s="105"/>
      <c r="C25" s="86">
        <v>45926</v>
      </c>
      <c r="D25" s="97">
        <f t="shared" si="9"/>
        <v>31</v>
      </c>
      <c r="E25" s="91">
        <f t="shared" si="10"/>
        <v>3743289</v>
      </c>
      <c r="F25" s="89">
        <f t="shared" si="12"/>
        <v>-22659.457702292322</v>
      </c>
      <c r="H25" s="98">
        <v>2.3093680000000005E-2</v>
      </c>
      <c r="I25" s="91">
        <f t="shared" si="1"/>
        <v>3743289</v>
      </c>
      <c r="J25" s="99">
        <f t="shared" si="2"/>
        <v>-6411</v>
      </c>
      <c r="K25" s="100">
        <f t="shared" si="3"/>
        <v>-14664.920342646577</v>
      </c>
      <c r="L25" s="101"/>
      <c r="M25" s="94">
        <f t="shared" si="11"/>
        <v>14664.920342646579</v>
      </c>
      <c r="N25" s="94">
        <f t="shared" si="13"/>
        <v>-16248.699999999999</v>
      </c>
      <c r="O25" s="99">
        <f t="shared" si="4"/>
        <v>-1583.7796573534197</v>
      </c>
      <c r="P25" s="101"/>
      <c r="Q25" s="95">
        <f t="shared" si="14"/>
        <v>-22659.699999999997</v>
      </c>
      <c r="R25" s="102"/>
      <c r="S25" s="276">
        <v>45930</v>
      </c>
      <c r="T25" s="97">
        <f t="shared" si="5"/>
        <v>5</v>
      </c>
      <c r="U25" s="94">
        <f t="shared" si="6"/>
        <v>2365.3097326849315</v>
      </c>
      <c r="V25" s="94">
        <f t="shared" si="7"/>
        <v>-2671.019178082192</v>
      </c>
      <c r="W25" s="94">
        <f t="shared" si="8"/>
        <v>-305.70944539726042</v>
      </c>
    </row>
    <row r="26" spans="1:23" x14ac:dyDescent="0.25">
      <c r="A26" s="239">
        <f t="shared" si="0"/>
        <v>3736850.4345960328</v>
      </c>
      <c r="B26" s="105"/>
      <c r="C26" s="86">
        <v>45957</v>
      </c>
      <c r="D26" s="97">
        <f t="shared" si="9"/>
        <v>31</v>
      </c>
      <c r="E26" s="91">
        <f t="shared" si="10"/>
        <v>3736850</v>
      </c>
      <c r="F26" s="89">
        <f t="shared" si="12"/>
        <v>-22659.457702292322</v>
      </c>
      <c r="H26" s="98">
        <v>2.3093680000000005E-2</v>
      </c>
      <c r="I26" s="91">
        <f t="shared" si="1"/>
        <v>3736850</v>
      </c>
      <c r="J26" s="99">
        <f t="shared" si="2"/>
        <v>-6439</v>
      </c>
      <c r="K26" s="100">
        <f t="shared" si="3"/>
        <v>-14639.847188976497</v>
      </c>
      <c r="L26" s="101"/>
      <c r="M26" s="94">
        <f>(H26+$E$4)*D26/365*E25</f>
        <v>14639.847188976497</v>
      </c>
      <c r="N26" s="94">
        <f>-($E$5*E25/12)</f>
        <v>-16220.919</v>
      </c>
      <c r="O26" s="99">
        <f t="shared" si="4"/>
        <v>-1581.071811023503</v>
      </c>
      <c r="P26" s="101"/>
      <c r="Q26" s="95">
        <f t="shared" si="14"/>
        <v>-22659.919000000002</v>
      </c>
      <c r="R26" s="102"/>
      <c r="S26" s="276">
        <v>45961</v>
      </c>
      <c r="T26" s="97">
        <f t="shared" si="5"/>
        <v>5</v>
      </c>
      <c r="U26" s="94">
        <f t="shared" si="6"/>
        <v>2361.2656756413699</v>
      </c>
      <c r="V26" s="94">
        <f t="shared" si="7"/>
        <v>-2666.4524383561643</v>
      </c>
      <c r="W26" s="94">
        <f t="shared" si="8"/>
        <v>-305.18676271479444</v>
      </c>
    </row>
    <row r="27" spans="1:23" x14ac:dyDescent="0.25">
      <c r="A27" s="239">
        <f t="shared" si="0"/>
        <v>3730383.995443657</v>
      </c>
      <c r="B27" s="105"/>
      <c r="C27" s="86">
        <v>45987</v>
      </c>
      <c r="D27" s="97">
        <f t="shared" si="9"/>
        <v>30</v>
      </c>
      <c r="E27" s="91">
        <f t="shared" si="10"/>
        <v>3730384</v>
      </c>
      <c r="F27" s="89">
        <f t="shared" si="12"/>
        <v>-22659.457702292322</v>
      </c>
      <c r="H27" s="98">
        <v>2.3093680000000002E-2</v>
      </c>
      <c r="I27" s="91">
        <f t="shared" si="1"/>
        <v>3730384</v>
      </c>
      <c r="J27" s="99">
        <f t="shared" si="2"/>
        <v>-6466</v>
      </c>
      <c r="K27" s="100">
        <f t="shared" si="3"/>
        <v>-14143.223737232876</v>
      </c>
      <c r="L27" s="101"/>
      <c r="M27" s="94">
        <f t="shared" si="11"/>
        <v>14143.223737232876</v>
      </c>
      <c r="N27" s="94">
        <f t="shared" si="13"/>
        <v>-16193.016666666665</v>
      </c>
      <c r="O27" s="99">
        <f t="shared" si="4"/>
        <v>-2049.7929294337882</v>
      </c>
      <c r="P27" s="101"/>
      <c r="Q27" s="95">
        <f t="shared" si="14"/>
        <v>-22659.016666666663</v>
      </c>
      <c r="R27" s="102"/>
      <c r="S27" s="276">
        <v>45991</v>
      </c>
      <c r="T27" s="97">
        <f t="shared" si="5"/>
        <v>5</v>
      </c>
      <c r="U27" s="94">
        <f t="shared" si="6"/>
        <v>2357.2039562054797</v>
      </c>
      <c r="V27" s="94">
        <f t="shared" si="7"/>
        <v>-2661.8657534246577</v>
      </c>
      <c r="W27" s="94">
        <f t="shared" si="8"/>
        <v>-304.66179721917797</v>
      </c>
    </row>
    <row r="28" spans="1:23" x14ac:dyDescent="0.25">
      <c r="A28" s="239">
        <f t="shared" si="0"/>
        <v>3723889.5350549542</v>
      </c>
      <c r="B28" s="105"/>
      <c r="C28" s="86">
        <v>46020</v>
      </c>
      <c r="D28" s="97">
        <f t="shared" si="9"/>
        <v>33</v>
      </c>
      <c r="E28" s="91">
        <f t="shared" si="10"/>
        <v>3723890</v>
      </c>
      <c r="F28" s="89">
        <f t="shared" si="12"/>
        <v>-22659.457702292322</v>
      </c>
      <c r="H28" s="98">
        <v>2.3093680000000005E-2</v>
      </c>
      <c r="I28" s="91">
        <f t="shared" si="1"/>
        <v>3723890</v>
      </c>
      <c r="J28" s="99">
        <f t="shared" si="2"/>
        <v>-6494</v>
      </c>
      <c r="K28" s="100">
        <f t="shared" si="3"/>
        <v>-15530.626354168111</v>
      </c>
      <c r="L28" s="101"/>
      <c r="M28" s="94">
        <f t="shared" si="11"/>
        <v>15530.626354168111</v>
      </c>
      <c r="N28" s="94">
        <f t="shared" si="13"/>
        <v>-16164.997333333333</v>
      </c>
      <c r="O28" s="99">
        <f t="shared" si="4"/>
        <v>-634.3709791652218</v>
      </c>
      <c r="P28" s="101"/>
      <c r="Q28" s="95">
        <f t="shared" si="14"/>
        <v>-22658.997333333333</v>
      </c>
      <c r="R28" s="102"/>
      <c r="S28" s="276">
        <v>46022</v>
      </c>
      <c r="T28" s="97">
        <f t="shared" si="5"/>
        <v>3</v>
      </c>
      <c r="U28" s="94">
        <f t="shared" si="6"/>
        <v>1411.8751231061922</v>
      </c>
      <c r="V28" s="94">
        <f t="shared" si="7"/>
        <v>-1594.355901369863</v>
      </c>
      <c r="W28" s="94">
        <f t="shared" si="8"/>
        <v>-182.4807782636708</v>
      </c>
    </row>
    <row r="29" spans="1:23" x14ac:dyDescent="0.25">
      <c r="A29" s="239">
        <f t="shared" si="0"/>
        <v>3717366.9320045668</v>
      </c>
      <c r="B29" s="105"/>
      <c r="C29" s="86">
        <v>46048</v>
      </c>
      <c r="D29" s="97">
        <f t="shared" si="9"/>
        <v>28</v>
      </c>
      <c r="E29" s="91">
        <f t="shared" si="10"/>
        <v>3717367</v>
      </c>
      <c r="F29" s="89">
        <f t="shared" si="12"/>
        <v>-22659.457702292322</v>
      </c>
      <c r="H29" s="98">
        <v>2.3093679999999995E-2</v>
      </c>
      <c r="I29" s="91">
        <f t="shared" si="1"/>
        <v>3717367</v>
      </c>
      <c r="J29" s="99">
        <f t="shared" si="2"/>
        <v>-6523</v>
      </c>
      <c r="K29" s="100">
        <f t="shared" si="3"/>
        <v>-13154.56123383452</v>
      </c>
      <c r="L29" s="101"/>
      <c r="M29" s="94">
        <f t="shared" si="11"/>
        <v>13154.56123383452</v>
      </c>
      <c r="N29" s="94">
        <f t="shared" si="13"/>
        <v>-16136.856666666667</v>
      </c>
      <c r="O29" s="99">
        <f t="shared" si="4"/>
        <v>-2982.2954328321466</v>
      </c>
      <c r="P29" s="101"/>
      <c r="Q29" s="95">
        <f t="shared" si="14"/>
        <v>-22659.856666666667</v>
      </c>
      <c r="R29" s="102"/>
      <c r="S29" s="276">
        <v>46053</v>
      </c>
      <c r="T29" s="97">
        <f t="shared" si="5"/>
        <v>6</v>
      </c>
      <c r="U29" s="94">
        <f t="shared" si="6"/>
        <v>2818.8345501073973</v>
      </c>
      <c r="V29" s="94">
        <f t="shared" si="7"/>
        <v>-3183.1607671232878</v>
      </c>
      <c r="W29" s="94">
        <f t="shared" si="8"/>
        <v>-364.32621701589051</v>
      </c>
    </row>
    <row r="30" spans="1:23" x14ac:dyDescent="0.25">
      <c r="A30" s="239">
        <f t="shared" si="0"/>
        <v>3710816.0643409612</v>
      </c>
      <c r="B30" s="105"/>
      <c r="C30" s="86">
        <v>46079</v>
      </c>
      <c r="D30" s="97">
        <f t="shared" si="9"/>
        <v>31</v>
      </c>
      <c r="E30" s="91">
        <f t="shared" si="10"/>
        <v>3710816</v>
      </c>
      <c r="F30" s="89">
        <f t="shared" si="12"/>
        <v>-22659.457702292322</v>
      </c>
      <c r="H30" s="98">
        <v>2.3093680000000005E-2</v>
      </c>
      <c r="I30" s="91">
        <f t="shared" si="1"/>
        <v>3710816</v>
      </c>
      <c r="J30" s="99">
        <f t="shared" si="2"/>
        <v>-6551</v>
      </c>
      <c r="K30" s="100">
        <f t="shared" si="3"/>
        <v>-14538.467327888386</v>
      </c>
      <c r="L30" s="101"/>
      <c r="M30" s="94">
        <f t="shared" si="11"/>
        <v>14538.467327888387</v>
      </c>
      <c r="N30" s="94">
        <f t="shared" si="13"/>
        <v>-16108.590333333334</v>
      </c>
      <c r="O30" s="99">
        <f t="shared" si="4"/>
        <v>-1570.1230054449461</v>
      </c>
      <c r="P30" s="101"/>
      <c r="Q30" s="95">
        <f t="shared" si="14"/>
        <v>-22659.590333333334</v>
      </c>
      <c r="R30" s="102"/>
      <c r="S30" s="276">
        <v>46081</v>
      </c>
      <c r="T30" s="97">
        <f t="shared" si="5"/>
        <v>3</v>
      </c>
      <c r="U30" s="94">
        <f t="shared" si="6"/>
        <v>1406.9484510859729</v>
      </c>
      <c r="V30" s="94">
        <f t="shared" si="7"/>
        <v>-1588.7924712328768</v>
      </c>
      <c r="W30" s="94">
        <f t="shared" si="8"/>
        <v>-181.84402014690386</v>
      </c>
    </row>
    <row r="31" spans="1:23" x14ac:dyDescent="0.25">
      <c r="A31" s="239">
        <f t="shared" si="0"/>
        <v>3704236.8095841464</v>
      </c>
      <c r="B31" s="105"/>
      <c r="C31" s="86">
        <v>46107</v>
      </c>
      <c r="D31" s="97">
        <f t="shared" si="9"/>
        <v>28</v>
      </c>
      <c r="E31" s="91">
        <f t="shared" si="10"/>
        <v>3704237</v>
      </c>
      <c r="F31" s="89">
        <f t="shared" si="12"/>
        <v>-22659.457702292322</v>
      </c>
      <c r="H31" s="98">
        <v>2.3093679999999995E-2</v>
      </c>
      <c r="I31" s="91">
        <f t="shared" si="1"/>
        <v>3704237</v>
      </c>
      <c r="J31" s="99">
        <f t="shared" si="2"/>
        <v>-6579</v>
      </c>
      <c r="K31" s="100">
        <f t="shared" si="3"/>
        <v>-13108.37761037326</v>
      </c>
      <c r="L31" s="101"/>
      <c r="M31" s="94">
        <f>(H31+$E$4)*D31/365*E30</f>
        <v>13108.37761037326</v>
      </c>
      <c r="N31" s="94">
        <f t="shared" si="13"/>
        <v>-16080.202666666666</v>
      </c>
      <c r="O31" s="99">
        <f t="shared" si="4"/>
        <v>-2971.8250562934063</v>
      </c>
      <c r="P31" s="101"/>
      <c r="Q31" s="95">
        <f t="shared" si="14"/>
        <v>-22659.202666666664</v>
      </c>
      <c r="R31" s="102"/>
      <c r="S31" s="276">
        <v>46112</v>
      </c>
      <c r="T31" s="97">
        <f t="shared" si="5"/>
        <v>6</v>
      </c>
      <c r="U31" s="94">
        <f t="shared" si="6"/>
        <v>2808.9380593656988</v>
      </c>
      <c r="V31" s="94">
        <f t="shared" si="7"/>
        <v>-3171.9851835616437</v>
      </c>
      <c r="W31" s="94">
        <f t="shared" si="8"/>
        <v>-363.04712419594489</v>
      </c>
    </row>
    <row r="32" spans="1:23" x14ac:dyDescent="0.25">
      <c r="A32" s="239">
        <f t="shared" si="0"/>
        <v>3697629.0447233855</v>
      </c>
      <c r="B32" s="105"/>
      <c r="C32" s="86">
        <v>46139</v>
      </c>
      <c r="D32" s="97">
        <f t="shared" si="9"/>
        <v>32</v>
      </c>
      <c r="E32" s="91">
        <f t="shared" si="10"/>
        <v>3697629</v>
      </c>
      <c r="F32" s="89">
        <f t="shared" si="12"/>
        <v>-22659.457702292322</v>
      </c>
      <c r="H32" s="98">
        <v>2.3093680000000005E-2</v>
      </c>
      <c r="I32" s="91">
        <f t="shared" si="1"/>
        <v>3697629</v>
      </c>
      <c r="J32" s="99">
        <f t="shared" si="2"/>
        <v>-6608</v>
      </c>
      <c r="K32" s="100">
        <f t="shared" si="3"/>
        <v>-14954.442782339509</v>
      </c>
      <c r="L32" s="101"/>
      <c r="M32" s="94">
        <f t="shared" si="11"/>
        <v>14954.442782339507</v>
      </c>
      <c r="N32" s="94">
        <f t="shared" si="13"/>
        <v>-16051.693666666666</v>
      </c>
      <c r="O32" s="99">
        <f t="shared" si="4"/>
        <v>-1097.2508843271589</v>
      </c>
      <c r="P32" s="101"/>
      <c r="Q32" s="95">
        <f t="shared" si="14"/>
        <v>-22659.693666666666</v>
      </c>
      <c r="R32" s="102"/>
      <c r="S32" s="276">
        <v>46142</v>
      </c>
      <c r="T32" s="97">
        <f t="shared" si="5"/>
        <v>4</v>
      </c>
      <c r="U32" s="94">
        <f t="shared" si="6"/>
        <v>1869.3053477924384</v>
      </c>
      <c r="V32" s="94">
        <f t="shared" si="7"/>
        <v>-2110.9076602739724</v>
      </c>
      <c r="W32" s="94">
        <f t="shared" si="8"/>
        <v>-241.602312481534</v>
      </c>
    </row>
    <row r="33" spans="1:23" x14ac:dyDescent="0.25">
      <c r="A33" s="239">
        <f t="shared" si="0"/>
        <v>3690992.6462148945</v>
      </c>
      <c r="B33" s="105"/>
      <c r="C33" s="86">
        <v>46168</v>
      </c>
      <c r="D33" s="97">
        <f t="shared" si="9"/>
        <v>29</v>
      </c>
      <c r="E33" s="91">
        <f t="shared" si="10"/>
        <v>3690993</v>
      </c>
      <c r="F33" s="89">
        <f t="shared" si="12"/>
        <v>-22659.457702292322</v>
      </c>
      <c r="H33" s="98">
        <v>2.3093680000000002E-2</v>
      </c>
      <c r="I33" s="91">
        <f t="shared" si="1"/>
        <v>3690993</v>
      </c>
      <c r="J33" s="99">
        <f t="shared" si="2"/>
        <v>-6636</v>
      </c>
      <c r="K33" s="100">
        <f t="shared" si="3"/>
        <v>-13528.287488875563</v>
      </c>
      <c r="L33" s="101"/>
      <c r="M33" s="94">
        <f>(H33+$E$4)*D33/365*E32</f>
        <v>13528.287488875561</v>
      </c>
      <c r="N33" s="94">
        <f t="shared" si="13"/>
        <v>-16023.058999999999</v>
      </c>
      <c r="O33" s="99">
        <f t="shared" si="4"/>
        <v>-2494.7715111244379</v>
      </c>
      <c r="P33" s="101"/>
      <c r="Q33" s="95">
        <f t="shared" si="14"/>
        <v>-22659.059000000001</v>
      </c>
      <c r="R33" s="102"/>
      <c r="S33" s="276">
        <v>46173</v>
      </c>
      <c r="T33" s="97">
        <f t="shared" si="5"/>
        <v>6</v>
      </c>
      <c r="U33" s="94">
        <f t="shared" si="6"/>
        <v>2798.9560321811509</v>
      </c>
      <c r="V33" s="94">
        <f t="shared" si="7"/>
        <v>-3160.7130082191779</v>
      </c>
      <c r="W33" s="94">
        <f t="shared" si="8"/>
        <v>-361.75697603802701</v>
      </c>
    </row>
    <row r="34" spans="1:23" x14ac:dyDescent="0.25">
      <c r="A34" s="239">
        <f t="shared" si="0"/>
        <v>3684327.4899795335</v>
      </c>
      <c r="B34" s="105"/>
      <c r="C34" s="86">
        <v>46199</v>
      </c>
      <c r="D34" s="97">
        <f t="shared" si="9"/>
        <v>31</v>
      </c>
      <c r="E34" s="91">
        <f t="shared" si="10"/>
        <v>3684327</v>
      </c>
      <c r="F34" s="89">
        <f t="shared" si="12"/>
        <v>-22659.457702292322</v>
      </c>
      <c r="H34" s="98">
        <v>2.3093680000000005E-2</v>
      </c>
      <c r="I34" s="91">
        <f t="shared" si="1"/>
        <v>3684327</v>
      </c>
      <c r="J34" s="99">
        <f t="shared" si="2"/>
        <v>-6666</v>
      </c>
      <c r="K34" s="100">
        <f t="shared" si="3"/>
        <v>-14435.319713648056</v>
      </c>
      <c r="L34" s="101"/>
      <c r="M34" s="94">
        <f t="shared" si="11"/>
        <v>14435.319713648058</v>
      </c>
      <c r="N34" s="94">
        <f t="shared" si="13"/>
        <v>-15994.303</v>
      </c>
      <c r="O34" s="99">
        <f t="shared" si="4"/>
        <v>-1558.9832863519423</v>
      </c>
      <c r="P34" s="101"/>
      <c r="Q34" s="95">
        <f>J34+K34+O34</f>
        <v>-22660.303</v>
      </c>
      <c r="R34" s="102"/>
      <c r="S34" s="276">
        <v>46203</v>
      </c>
      <c r="T34" s="97">
        <f t="shared" si="5"/>
        <v>5</v>
      </c>
      <c r="U34" s="94">
        <f t="shared" si="6"/>
        <v>2328.2773731690413</v>
      </c>
      <c r="V34" s="94">
        <f t="shared" si="7"/>
        <v>-2629.2004931506849</v>
      </c>
      <c r="W34" s="94">
        <f t="shared" si="8"/>
        <v>-300.92311998164359</v>
      </c>
    </row>
    <row r="35" spans="1:23" x14ac:dyDescent="0.25">
      <c r="A35" s="239">
        <f t="shared" si="0"/>
        <v>3677633.4514004858</v>
      </c>
      <c r="B35" s="105"/>
      <c r="C35" s="86">
        <v>46230</v>
      </c>
      <c r="D35" s="97">
        <f t="shared" si="9"/>
        <v>31</v>
      </c>
      <c r="E35" s="91">
        <f t="shared" si="10"/>
        <v>3677633</v>
      </c>
      <c r="F35" s="89">
        <f t="shared" si="12"/>
        <v>-22659.457702292322</v>
      </c>
      <c r="H35" s="98">
        <v>2.3093680000000002E-2</v>
      </c>
      <c r="I35" s="91">
        <f t="shared" si="1"/>
        <v>3677633</v>
      </c>
      <c r="J35" s="99">
        <f t="shared" si="2"/>
        <v>-6694</v>
      </c>
      <c r="K35" s="100">
        <f t="shared" si="3"/>
        <v>-14409.249265611123</v>
      </c>
      <c r="L35" s="101"/>
      <c r="M35" s="94">
        <f t="shared" si="11"/>
        <v>14409.249265611123</v>
      </c>
      <c r="N35" s="94">
        <f t="shared" si="13"/>
        <v>-15965.416999999999</v>
      </c>
      <c r="O35" s="99">
        <f t="shared" si="4"/>
        <v>-1556.1677343888769</v>
      </c>
      <c r="P35" s="101"/>
      <c r="Q35" s="95">
        <f t="shared" si="14"/>
        <v>-22659.416999999998</v>
      </c>
      <c r="R35" s="102"/>
      <c r="S35" s="276">
        <v>46234</v>
      </c>
      <c r="T35" s="97">
        <f t="shared" si="5"/>
        <v>5</v>
      </c>
      <c r="U35" s="94">
        <f t="shared" si="6"/>
        <v>2324.0724621953427</v>
      </c>
      <c r="V35" s="94">
        <f t="shared" si="7"/>
        <v>-2624.4521095890409</v>
      </c>
      <c r="W35" s="94">
        <f t="shared" si="8"/>
        <v>-300.37964739369818</v>
      </c>
    </row>
    <row r="36" spans="1:23" x14ac:dyDescent="0.25">
      <c r="A36" s="239">
        <f t="shared" si="0"/>
        <v>3670910.4053209294</v>
      </c>
      <c r="B36" s="105"/>
      <c r="C36" s="86">
        <v>46260</v>
      </c>
      <c r="D36" s="97">
        <f t="shared" si="9"/>
        <v>30</v>
      </c>
      <c r="E36" s="91">
        <f t="shared" si="10"/>
        <v>3670910</v>
      </c>
      <c r="F36" s="89">
        <f t="shared" si="12"/>
        <v>-22659.457702292322</v>
      </c>
      <c r="H36" s="98">
        <v>2.3093680000000002E-2</v>
      </c>
      <c r="I36" s="91">
        <f t="shared" si="1"/>
        <v>3670910</v>
      </c>
      <c r="J36" s="99">
        <f t="shared" si="2"/>
        <v>-6723</v>
      </c>
      <c r="K36" s="100">
        <f t="shared" si="3"/>
        <v>-13919.099332975889</v>
      </c>
      <c r="L36" s="101"/>
      <c r="M36" s="94">
        <f t="shared" si="11"/>
        <v>13919.099332975889</v>
      </c>
      <c r="N36" s="94">
        <f t="shared" si="13"/>
        <v>-15936.409666666666</v>
      </c>
      <c r="O36" s="99">
        <f t="shared" si="4"/>
        <v>-2017.310333690777</v>
      </c>
      <c r="P36" s="101"/>
      <c r="Q36" s="95">
        <f t="shared" si="14"/>
        <v>-22659.409666666666</v>
      </c>
      <c r="R36" s="102"/>
      <c r="S36" s="276">
        <v>46265</v>
      </c>
      <c r="T36" s="97">
        <f t="shared" si="5"/>
        <v>6</v>
      </c>
      <c r="U36" s="94">
        <f t="shared" si="6"/>
        <v>2783.8198665951782</v>
      </c>
      <c r="V36" s="94">
        <f t="shared" si="7"/>
        <v>-3143.6205369863014</v>
      </c>
      <c r="W36" s="94">
        <f t="shared" si="8"/>
        <v>-359.80067039112328</v>
      </c>
    </row>
    <row r="37" spans="1:23" x14ac:dyDescent="0.25">
      <c r="A37" s="239">
        <f t="shared" si="0"/>
        <v>3664158.2260416946</v>
      </c>
      <c r="B37" s="105"/>
      <c r="C37" s="86">
        <v>46293</v>
      </c>
      <c r="D37" s="97">
        <f t="shared" si="9"/>
        <v>33</v>
      </c>
      <c r="E37" s="91">
        <f t="shared" si="10"/>
        <v>3664158</v>
      </c>
      <c r="F37" s="89">
        <f t="shared" si="12"/>
        <v>-22659.457702292322</v>
      </c>
      <c r="H37" s="98">
        <v>2.3093680000000005E-2</v>
      </c>
      <c r="I37" s="91">
        <f t="shared" si="1"/>
        <v>3664158</v>
      </c>
      <c r="J37" s="99">
        <f t="shared" si="2"/>
        <v>-6752</v>
      </c>
      <c r="K37" s="100">
        <f t="shared" si="3"/>
        <v>-15283.019546990139</v>
      </c>
      <c r="L37" s="101"/>
      <c r="M37" s="94">
        <f t="shared" si="11"/>
        <v>15283.019546990139</v>
      </c>
      <c r="N37" s="94">
        <f t="shared" si="13"/>
        <v>-15907.276666666665</v>
      </c>
      <c r="O37" s="99">
        <f t="shared" si="4"/>
        <v>-624.25711967652569</v>
      </c>
      <c r="P37" s="101"/>
      <c r="Q37" s="95">
        <f t="shared" si="14"/>
        <v>-22659.276666666665</v>
      </c>
      <c r="R37" s="102"/>
      <c r="S37" s="276">
        <v>46295</v>
      </c>
      <c r="T37" s="97">
        <f t="shared" si="5"/>
        <v>3</v>
      </c>
      <c r="U37" s="94">
        <f t="shared" si="6"/>
        <v>1389.3654133627401</v>
      </c>
      <c r="V37" s="94">
        <f t="shared" si="7"/>
        <v>-1568.9368767123287</v>
      </c>
      <c r="W37" s="94">
        <f t="shared" si="8"/>
        <v>-179.57146334958861</v>
      </c>
    </row>
    <row r="38" spans="1:23" x14ac:dyDescent="0.25">
      <c r="A38" s="239">
        <f t="shared" si="0"/>
        <v>3657376.7873189165</v>
      </c>
      <c r="B38" s="105"/>
      <c r="C38" s="86">
        <v>46321</v>
      </c>
      <c r="D38" s="97">
        <f t="shared" si="9"/>
        <v>28</v>
      </c>
      <c r="E38" s="91">
        <f t="shared" si="10"/>
        <v>3657377</v>
      </c>
      <c r="F38" s="89">
        <f t="shared" si="12"/>
        <v>-22659.457702292322</v>
      </c>
      <c r="H38" s="98">
        <v>2.3093679999999995E-2</v>
      </c>
      <c r="I38" s="91">
        <f t="shared" si="1"/>
        <v>3657377</v>
      </c>
      <c r="J38" s="99">
        <f t="shared" si="2"/>
        <v>-6781</v>
      </c>
      <c r="K38" s="100">
        <f t="shared" si="3"/>
        <v>-12943.559230118137</v>
      </c>
      <c r="L38" s="101"/>
      <c r="M38" s="94">
        <f t="shared" si="11"/>
        <v>12943.559230118137</v>
      </c>
      <c r="N38" s="94">
        <f t="shared" si="13"/>
        <v>-15878.017999999998</v>
      </c>
      <c r="O38" s="99">
        <f t="shared" si="4"/>
        <v>-2934.4587698818614</v>
      </c>
      <c r="P38" s="101"/>
      <c r="Q38" s="95">
        <f t="shared" si="14"/>
        <v>-22659.018</v>
      </c>
      <c r="R38" s="102"/>
      <c r="S38" s="276">
        <v>46326</v>
      </c>
      <c r="T38" s="97">
        <f t="shared" si="5"/>
        <v>6</v>
      </c>
      <c r="U38" s="94">
        <f t="shared" si="6"/>
        <v>2773.6198350253153</v>
      </c>
      <c r="V38" s="94">
        <f t="shared" si="7"/>
        <v>-3132.102180821918</v>
      </c>
      <c r="W38" s="94">
        <f t="shared" si="8"/>
        <v>-358.48234579660266</v>
      </c>
    </row>
    <row r="39" spans="1:23" x14ac:dyDescent="0.25">
      <c r="A39" s="239">
        <f t="shared" si="0"/>
        <v>3650565.9623616729</v>
      </c>
      <c r="B39" s="105"/>
      <c r="C39" s="86">
        <v>46352</v>
      </c>
      <c r="D39" s="97">
        <f t="shared" si="9"/>
        <v>31</v>
      </c>
      <c r="E39" s="91">
        <f t="shared" si="10"/>
        <v>3650566</v>
      </c>
      <c r="F39" s="89">
        <f t="shared" si="12"/>
        <v>-22659.457702292322</v>
      </c>
      <c r="H39" s="98">
        <v>2.3093680000000005E-2</v>
      </c>
      <c r="I39" s="91">
        <f t="shared" si="1"/>
        <v>3650566</v>
      </c>
      <c r="J39" s="99">
        <f t="shared" si="2"/>
        <v>-6811</v>
      </c>
      <c r="K39" s="100">
        <f t="shared" si="3"/>
        <v>-14303.848939389207</v>
      </c>
      <c r="L39" s="101"/>
      <c r="M39" s="94">
        <f t="shared" si="11"/>
        <v>14303.848939389209</v>
      </c>
      <c r="N39" s="94">
        <f t="shared" si="13"/>
        <v>-15848.633666666667</v>
      </c>
      <c r="O39" s="99">
        <f t="shared" si="4"/>
        <v>-1544.7847272774579</v>
      </c>
      <c r="P39" s="101"/>
      <c r="Q39" s="95">
        <f t="shared" si="14"/>
        <v>-22659.633666666668</v>
      </c>
      <c r="R39" s="102"/>
      <c r="S39" s="276">
        <v>46356</v>
      </c>
      <c r="T39" s="97">
        <f t="shared" si="5"/>
        <v>5</v>
      </c>
      <c r="U39" s="94">
        <f t="shared" si="6"/>
        <v>2307.0724095789042</v>
      </c>
      <c r="V39" s="94">
        <f t="shared" si="7"/>
        <v>-2605.2548493150684</v>
      </c>
      <c r="W39" s="94">
        <f t="shared" si="8"/>
        <v>-298.18243973616427</v>
      </c>
    </row>
    <row r="40" spans="1:23" x14ac:dyDescent="0.25">
      <c r="A40" s="239">
        <f t="shared" si="0"/>
        <v>3643725.6238296148</v>
      </c>
      <c r="B40" s="105"/>
      <c r="C40" s="86">
        <v>46385</v>
      </c>
      <c r="D40" s="97">
        <f t="shared" si="9"/>
        <v>33</v>
      </c>
      <c r="E40" s="91">
        <f t="shared" si="10"/>
        <v>3643726</v>
      </c>
      <c r="F40" s="89">
        <f t="shared" si="12"/>
        <v>-22659.457702292322</v>
      </c>
      <c r="H40" s="98">
        <v>2.3093680000000005E-2</v>
      </c>
      <c r="I40" s="91">
        <f t="shared" si="1"/>
        <v>3643726</v>
      </c>
      <c r="J40" s="99">
        <f t="shared" si="2"/>
        <v>-6840</v>
      </c>
      <c r="K40" s="100">
        <f t="shared" si="3"/>
        <v>-15198.321815456553</v>
      </c>
      <c r="L40" s="101"/>
      <c r="M40" s="94">
        <f t="shared" si="11"/>
        <v>15198.321815456549</v>
      </c>
      <c r="N40" s="94">
        <f t="shared" si="13"/>
        <v>-15819.119333333334</v>
      </c>
      <c r="O40" s="99">
        <f t="shared" si="4"/>
        <v>-620.7975178767847</v>
      </c>
      <c r="P40" s="101"/>
      <c r="Q40" s="95">
        <f t="shared" si="14"/>
        <v>-22659.119333333339</v>
      </c>
      <c r="R40" s="102"/>
      <c r="S40" s="276">
        <v>46387</v>
      </c>
      <c r="T40" s="97">
        <f t="shared" si="5"/>
        <v>3</v>
      </c>
      <c r="U40" s="94">
        <f t="shared" si="6"/>
        <v>1381.6656195869591</v>
      </c>
      <c r="V40" s="94">
        <f t="shared" si="7"/>
        <v>-1560.241906849315</v>
      </c>
      <c r="W40" s="94">
        <f t="shared" si="8"/>
        <v>-178.57628726235589</v>
      </c>
    </row>
    <row r="41" spans="1:23" x14ac:dyDescent="0.25">
      <c r="A41" s="239">
        <f t="shared" si="0"/>
        <v>3636855.6438305844</v>
      </c>
      <c r="B41" s="105"/>
      <c r="C41" s="86">
        <v>46413</v>
      </c>
      <c r="D41" s="97">
        <f t="shared" si="9"/>
        <v>28</v>
      </c>
      <c r="E41" s="91">
        <f t="shared" si="10"/>
        <v>3636856</v>
      </c>
      <c r="F41" s="89">
        <f t="shared" si="12"/>
        <v>-22659.457702292322</v>
      </c>
      <c r="H41" s="98">
        <f>'Dettes - CORRA'!E31</f>
        <v>2.3083700000000019E-2</v>
      </c>
      <c r="I41" s="91">
        <f t="shared" si="1"/>
        <v>3636856</v>
      </c>
      <c r="J41" s="99">
        <f t="shared" si="2"/>
        <v>-6870</v>
      </c>
      <c r="K41" s="100">
        <f t="shared" si="3"/>
        <v>-12868.594033411513</v>
      </c>
      <c r="L41" s="101"/>
      <c r="M41" s="94">
        <f t="shared" si="11"/>
        <v>12868.594033411511</v>
      </c>
      <c r="N41" s="94">
        <f t="shared" si="13"/>
        <v>-15789.479333333331</v>
      </c>
      <c r="O41" s="99">
        <f t="shared" si="4"/>
        <v>-2920.8852999218198</v>
      </c>
      <c r="P41" s="101"/>
      <c r="Q41" s="95">
        <f t="shared" si="14"/>
        <v>-22659.479333333336</v>
      </c>
      <c r="R41" s="102"/>
      <c r="S41" s="276">
        <v>46418</v>
      </c>
      <c r="T41" s="97">
        <f t="shared" si="5"/>
        <v>6</v>
      </c>
      <c r="U41" s="94">
        <f t="shared" si="6"/>
        <v>2757.5558643024665</v>
      </c>
      <c r="V41" s="94">
        <f t="shared" si="7"/>
        <v>-3114.637019178082</v>
      </c>
      <c r="W41" s="94">
        <f t="shared" si="8"/>
        <v>-357.08115487561554</v>
      </c>
    </row>
    <row r="42" spans="1:23" x14ac:dyDescent="0.25">
      <c r="B42" s="107"/>
      <c r="C42" s="108"/>
      <c r="D42" s="108"/>
      <c r="E42" s="108"/>
    </row>
    <row r="43" spans="1:23" x14ac:dyDescent="0.25">
      <c r="B43" s="107"/>
      <c r="C43" s="108"/>
      <c r="D43" s="108"/>
      <c r="E43" s="108"/>
    </row>
    <row r="44" spans="1:23" x14ac:dyDescent="0.25">
      <c r="B44" s="107"/>
      <c r="C44" s="108"/>
      <c r="D44" s="108"/>
      <c r="E44" s="108"/>
    </row>
    <row r="45" spans="1:23" x14ac:dyDescent="0.25">
      <c r="B45" s="107"/>
      <c r="C45" s="108"/>
      <c r="D45" s="108"/>
      <c r="E45" s="108"/>
    </row>
    <row r="46" spans="1:23" x14ac:dyDescent="0.25">
      <c r="B46" s="107"/>
      <c r="C46" s="108"/>
      <c r="D46" s="108"/>
      <c r="E46" s="108"/>
    </row>
    <row r="47" spans="1:23" x14ac:dyDescent="0.25">
      <c r="B47" s="107"/>
      <c r="C47" s="108"/>
      <c r="D47" s="108"/>
      <c r="E47" s="108"/>
    </row>
    <row r="48" spans="1:23" x14ac:dyDescent="0.25">
      <c r="B48" s="107"/>
      <c r="C48" s="108"/>
      <c r="D48" s="108"/>
      <c r="E48" s="108"/>
    </row>
    <row r="49" spans="2:5" x14ac:dyDescent="0.25">
      <c r="B49" s="107"/>
      <c r="C49" s="108"/>
      <c r="D49" s="108"/>
      <c r="E49" s="108"/>
    </row>
    <row r="50" spans="2:5" x14ac:dyDescent="0.25">
      <c r="B50" s="107"/>
      <c r="C50" s="108"/>
      <c r="D50" s="108"/>
      <c r="E50" s="108"/>
    </row>
    <row r="51" spans="2:5" x14ac:dyDescent="0.25">
      <c r="B51" s="107"/>
      <c r="C51" s="108"/>
      <c r="D51" s="108"/>
      <c r="E51" s="108"/>
    </row>
    <row r="52" spans="2:5" x14ac:dyDescent="0.25">
      <c r="B52" s="107"/>
      <c r="C52" s="108"/>
      <c r="D52" s="108"/>
      <c r="E52" s="108"/>
    </row>
    <row r="53" spans="2:5" x14ac:dyDescent="0.25">
      <c r="B53" s="107"/>
      <c r="C53" s="108"/>
    </row>
    <row r="54" spans="2:5" x14ac:dyDescent="0.25">
      <c r="B54" s="107"/>
      <c r="C54" s="108"/>
    </row>
    <row r="55" spans="2:5" x14ac:dyDescent="0.25">
      <c r="B55" s="107"/>
      <c r="C55" s="108"/>
    </row>
    <row r="56" spans="2:5" x14ac:dyDescent="0.25">
      <c r="B56" s="107"/>
    </row>
    <row r="57" spans="2:5" x14ac:dyDescent="0.25">
      <c r="B57" s="107"/>
    </row>
    <row r="58" spans="2:5" x14ac:dyDescent="0.25">
      <c r="B58" s="107"/>
    </row>
    <row r="59" spans="2:5" x14ac:dyDescent="0.25">
      <c r="B59" s="107"/>
    </row>
    <row r="60" spans="2:5" x14ac:dyDescent="0.25">
      <c r="B60" s="107"/>
    </row>
  </sheetData>
  <dataValidations count="1">
    <dataValidation allowBlank="1" showInputMessage="1" showErrorMessage="1" promptTitle="Entrer Taux CORRA" prompt="Taux CORRA composé pour la période" sqref="H17:H41" xr:uid="{7F14984B-CE97-4884-BDCC-641CD1EF7770}"/>
  </dataValidations>
  <pageMargins left="0.25" right="0.25" top="0.75" bottom="0.75" header="0.3" footer="0.3"/>
  <pageSetup scale="51" orientation="portrait" r:id="rId1"/>
  <headerFooter>
    <oddFooter>&amp;L&amp;1#&amp;"Calibri"&amp;10&amp;K000000Internal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15</vt:i4>
      </vt:variant>
    </vt:vector>
  </HeadingPairs>
  <TitlesOfParts>
    <vt:vector size="29" baseType="lpstr">
      <vt:lpstr>Sommaire</vt:lpstr>
      <vt:lpstr>Dettes - CORRA</vt:lpstr>
      <vt:lpstr>Dettes - Prime et Partiel</vt:lpstr>
      <vt:lpstr>Swaps</vt:lpstr>
      <vt:lpstr>BNC-A</vt:lpstr>
      <vt:lpstr>TD-A</vt:lpstr>
      <vt:lpstr>BMO-A</vt:lpstr>
      <vt:lpstr>BNC-B</vt:lpstr>
      <vt:lpstr>TD-B</vt:lpstr>
      <vt:lpstr>BMO-B</vt:lpstr>
      <vt:lpstr>Frais</vt:lpstr>
      <vt:lpstr>CORRA</vt:lpstr>
      <vt:lpstr>Market Outlook </vt:lpstr>
      <vt:lpstr>2024-12-31</vt:lpstr>
      <vt:lpstr>'BNC-A'!Disclaimer1</vt:lpstr>
      <vt:lpstr>'BNC-B'!Disclaimer1</vt:lpstr>
      <vt:lpstr>'BNC-A'!Disclaimer2</vt:lpstr>
      <vt:lpstr>'BNC-B'!Disclaimer2</vt:lpstr>
      <vt:lpstr>'BNC-A'!Impression_des_titres</vt:lpstr>
      <vt:lpstr>'BNC-B'!Impression_des_titres</vt:lpstr>
      <vt:lpstr>'2024-12-31'!Zone_d_impression</vt:lpstr>
      <vt:lpstr>'BNC-A'!Zone_d_impression</vt:lpstr>
      <vt:lpstr>'BNC-B'!Zone_d_impression</vt:lpstr>
      <vt:lpstr>'Dettes - CORRA'!Zone_d_impression</vt:lpstr>
      <vt:lpstr>'Dettes - Prime et Partiel'!Zone_d_impression</vt:lpstr>
      <vt:lpstr>Sommaire!Zone_d_impression</vt:lpstr>
      <vt:lpstr>Swaps!Zone_d_impression</vt:lpstr>
      <vt:lpstr>'TD-A'!Zone_d_impression</vt:lpstr>
      <vt:lpstr>'TD-B'!Zone_d_impression</vt:lpstr>
    </vt:vector>
  </TitlesOfParts>
  <Company>Banque Nationale du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PDICDA</dc:creator>
  <cp:lastModifiedBy>Asmah Elshokri</cp:lastModifiedBy>
  <cp:lastPrinted>2024-09-17T14:45:12Z</cp:lastPrinted>
  <dcterms:created xsi:type="dcterms:W3CDTF">2009-06-16T16:44:44Z</dcterms:created>
  <dcterms:modified xsi:type="dcterms:W3CDTF">2025-01-27T19:26:02Z</dcterms:modified>
</cp:coreProperties>
</file>