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:\Groupe\SRS\Direction_Finance\REPORTING CONSOLIDATION\2025\ENDETTEMENT\JUIN\COUVERTURE\CANADA\"/>
    </mc:Choice>
  </mc:AlternateContent>
  <xr:revisionPtr revIDLastSave="0" documentId="13_ncr:1_{C61EE7B7-3E06-4D42-9131-EECF11A6E59E}" xr6:coauthVersionLast="47" xr6:coauthVersionMax="47" xr10:uidLastSave="{00000000-0000-0000-0000-000000000000}"/>
  <bookViews>
    <workbookView xWindow="-28920" yWindow="-105" windowWidth="29040" windowHeight="15840" activeTab="2" xr2:uid="{0FF44CAB-F796-4534-B859-85955DFD1F39}"/>
  </bookViews>
  <sheets>
    <sheet name="2025-06-30" sheetId="12" r:id="rId1"/>
    <sheet name="2025-03-31" sheetId="11" r:id="rId2"/>
    <sheet name="2024-12-31" sheetId="10" r:id="rId3"/>
    <sheet name="2024-09-30" sheetId="9" r:id="rId4"/>
    <sheet name="2024-07-31" sheetId="8" r:id="rId5"/>
    <sheet name="2024-06-30" sheetId="7" r:id="rId6"/>
    <sheet name="2023-06-05" sheetId="6" r:id="rId7"/>
    <sheet name="2023-03-16" sheetId="5" r:id="rId8"/>
    <sheet name="30-12-2022" sheetId="4" r:id="rId9"/>
    <sheet name="30-11-2022" sheetId="3" r:id="rId10"/>
    <sheet name=" 17-10--2022" sheetId="2" r:id="rId11"/>
    <sheet name="30-09-2021" sheetId="1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Amortization" localSheetId="2">#REF!</definedName>
    <definedName name="Amortization">#REF!</definedName>
    <definedName name="Amortization2">#REF!</definedName>
    <definedName name="Amount" localSheetId="2">#REF!</definedName>
    <definedName name="Amount">#REF!</definedName>
    <definedName name="Applicable_Margin" localSheetId="2">#REF!</definedName>
    <definedName name="Applicable_Margin">#REF!</definedName>
    <definedName name="Client" localSheetId="2">#REF!</definedName>
    <definedName name="Client">#REF!</definedName>
    <definedName name="Disclaimer1" localSheetId="2">#REF!</definedName>
    <definedName name="Disclaimer1">#REF!</definedName>
    <definedName name="Disclaimer2" localSheetId="2">#REF!</definedName>
    <definedName name="Disclaimer2">#REF!</definedName>
    <definedName name="EndDate" localSheetId="2">#REF!</definedName>
    <definedName name="EndDate">#REF!</definedName>
    <definedName name="StartCell" localSheetId="2">#REF!</definedName>
    <definedName name="StartCell">#REF!</definedName>
    <definedName name="Swap_Rate" localSheetId="2">#REF!</definedName>
    <definedName name="Swap_Rate">#REF!</definedName>
    <definedName name="Taux" localSheetId="2">#REF!</definedName>
    <definedName name="Taux">#REF!</definedName>
    <definedName name="Type" localSheetId="2">#REF!</definedName>
    <definedName name="Type">#REF!</definedName>
    <definedName name="ValueDate" localSheetId="2">#REF!</definedName>
    <definedName name="ValueDate">#REF!</definedName>
    <definedName name="_xlnm.Print_Area" localSheetId="10">' 17-10--2022'!$A$1:$N$83</definedName>
    <definedName name="_xlnm.Print_Area" localSheetId="7">'2023-03-16'!$A$1:$O$95</definedName>
    <definedName name="_xlnm.Print_Area" localSheetId="6">'2023-06-05'!$A$1:$O$95</definedName>
    <definedName name="_xlnm.Print_Area" localSheetId="5">'2024-06-30'!$A$1:$O$36</definedName>
    <definedName name="_xlnm.Print_Area" localSheetId="4">'2024-07-31'!$A$1:$O$41</definedName>
    <definedName name="_xlnm.Print_Area" localSheetId="3">'2024-09-30'!$A$1:$O$41</definedName>
    <definedName name="_xlnm.Print_Area" localSheetId="2">'2024-12-31'!$A$1:$P$43</definedName>
    <definedName name="_xlnm.Print_Area" localSheetId="1">'2025-03-31'!$A$1:$O$45</definedName>
    <definedName name="_xlnm.Print_Area" localSheetId="0">'2025-06-30'!$A$1:$O$45</definedName>
    <definedName name="_xlnm.Print_Area" localSheetId="11">'30-09-2021'!$A$1:$N$85</definedName>
    <definedName name="_xlnm.Print_Area" localSheetId="9">'30-11-2022'!$A$1:$N$84</definedName>
    <definedName name="_xlnm.Print_Area" localSheetId="8">'30-12-2022'!$A$1:$O$93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2" i="10" l="1"/>
  <c r="I12" i="12"/>
  <c r="I9" i="12"/>
  <c r="I14" i="12" s="1"/>
  <c r="I12" i="10"/>
  <c r="F23" i="12"/>
  <c r="F25" i="12" s="1"/>
  <c r="F14" i="12"/>
  <c r="E14" i="12"/>
  <c r="M9" i="12"/>
  <c r="M10" i="12" s="1"/>
  <c r="M11" i="12" s="1"/>
  <c r="M12" i="12" s="1"/>
  <c r="M13" i="12" s="1"/>
  <c r="F23" i="11"/>
  <c r="F25" i="11" s="1"/>
  <c r="I14" i="11"/>
  <c r="F14" i="11"/>
  <c r="F27" i="11" s="1"/>
  <c r="E14" i="11"/>
  <c r="E27" i="11" s="1"/>
  <c r="M9" i="11"/>
  <c r="M10" i="11" s="1"/>
  <c r="M11" i="11" s="1"/>
  <c r="M12" i="11" s="1"/>
  <c r="M13" i="11" s="1"/>
  <c r="F12" i="10"/>
  <c r="E29" i="10" s="1"/>
  <c r="F29" i="10" s="1"/>
  <c r="E12" i="10"/>
  <c r="N9" i="10"/>
  <c r="N10" i="10" s="1"/>
  <c r="N11" i="10" s="1"/>
  <c r="F15" i="9"/>
  <c r="F19" i="9" s="1"/>
  <c r="F21" i="9" s="1"/>
  <c r="F11" i="9"/>
  <c r="E27" i="9" s="1"/>
  <c r="F27" i="9" s="1"/>
  <c r="E11" i="9"/>
  <c r="E23" i="9" s="1"/>
  <c r="M10" i="9"/>
  <c r="M9" i="9"/>
  <c r="E26" i="8"/>
  <c r="B33" i="8"/>
  <c r="F30" i="8"/>
  <c r="E30" i="8"/>
  <c r="F22" i="8"/>
  <c r="F24" i="8" s="1"/>
  <c r="F14" i="8"/>
  <c r="E14" i="8"/>
  <c r="E24" i="8"/>
  <c r="M9" i="8"/>
  <c r="M10" i="8" s="1"/>
  <c r="F27" i="7"/>
  <c r="E28" i="7"/>
  <c r="E23" i="7"/>
  <c r="E20" i="7"/>
  <c r="E27" i="12" l="1"/>
  <c r="F27" i="12"/>
  <c r="F15" i="12" s="1"/>
  <c r="B34" i="12" s="1"/>
  <c r="E31" i="12"/>
  <c r="F31" i="12" s="1"/>
  <c r="F26" i="11"/>
  <c r="F15" i="11"/>
  <c r="B34" i="11" s="1"/>
  <c r="E31" i="11"/>
  <c r="F31" i="11" s="1"/>
  <c r="F21" i="10"/>
  <c r="F23" i="9"/>
  <c r="F22" i="9" s="1"/>
  <c r="F26" i="8"/>
  <c r="F15" i="8" s="1"/>
  <c r="E31" i="8"/>
  <c r="F15" i="7"/>
  <c r="E15" i="7"/>
  <c r="F26" i="12" l="1"/>
  <c r="E25" i="10"/>
  <c r="F23" i="10"/>
  <c r="F12" i="9"/>
  <c r="B30" i="9" s="1"/>
  <c r="F25" i="8"/>
  <c r="I11" i="7"/>
  <c r="I10" i="7"/>
  <c r="F25" i="10" l="1"/>
  <c r="F13" i="10" s="1"/>
  <c r="B32" i="10" s="1"/>
  <c r="F19" i="7"/>
  <c r="F18" i="7"/>
  <c r="F21" i="7" s="1"/>
  <c r="F24" i="10" l="1"/>
  <c r="E21" i="7"/>
  <c r="B11" i="7"/>
  <c r="B10" i="7"/>
  <c r="M9" i="7"/>
  <c r="M10" i="7" s="1"/>
  <c r="M11" i="7" s="1"/>
  <c r="B89" i="5"/>
  <c r="E87" i="5"/>
  <c r="E86" i="5"/>
  <c r="F73" i="5"/>
  <c r="C58" i="6"/>
  <c r="I68" i="6"/>
  <c r="I67" i="6"/>
  <c r="E86" i="6"/>
  <c r="E87" i="6"/>
  <c r="F80" i="6"/>
  <c r="E80" i="6"/>
  <c r="F76" i="6"/>
  <c r="F75" i="6"/>
  <c r="F71" i="6"/>
  <c r="F72" i="6"/>
  <c r="C71" i="6"/>
  <c r="F70" i="6"/>
  <c r="F69" i="6"/>
  <c r="M68" i="6"/>
  <c r="C68" i="6"/>
  <c r="B68" i="6"/>
  <c r="M67" i="6"/>
  <c r="C67" i="6"/>
  <c r="B67" i="6"/>
  <c r="M66" i="6"/>
  <c r="G65" i="6"/>
  <c r="L63" i="6"/>
  <c r="H63" i="6"/>
  <c r="G63" i="6"/>
  <c r="M62" i="6"/>
  <c r="M63" i="6"/>
  <c r="L62" i="6"/>
  <c r="H62" i="6"/>
  <c r="G62" i="6"/>
  <c r="G61" i="6"/>
  <c r="I58" i="6"/>
  <c r="G58" i="6"/>
  <c r="F58" i="6"/>
  <c r="E58" i="6"/>
  <c r="D58" i="6"/>
  <c r="B58" i="6"/>
  <c r="I50" i="6"/>
  <c r="G50" i="6"/>
  <c r="F50" i="6"/>
  <c r="I49" i="6"/>
  <c r="G49" i="6"/>
  <c r="F49" i="6"/>
  <c r="E49" i="6"/>
  <c r="E64" i="6"/>
  <c r="E72" i="6" s="1"/>
  <c r="E82" i="6" s="1"/>
  <c r="I48" i="6"/>
  <c r="G48" i="6"/>
  <c r="F48" i="6"/>
  <c r="I47" i="6"/>
  <c r="G47" i="6"/>
  <c r="F47" i="6"/>
  <c r="E47" i="6"/>
  <c r="I46" i="6"/>
  <c r="G46" i="6"/>
  <c r="F46" i="6"/>
  <c r="I45" i="6" a="1"/>
  <c r="I45" i="6"/>
  <c r="I51" i="6"/>
  <c r="I54" i="6" s="1"/>
  <c r="G45" i="6" a="1"/>
  <c r="G45" i="6"/>
  <c r="F44" i="6"/>
  <c r="I43" i="6"/>
  <c r="G43" i="6"/>
  <c r="F43" i="6"/>
  <c r="E43" i="6"/>
  <c r="D43" i="6"/>
  <c r="C43" i="6"/>
  <c r="B43" i="6"/>
  <c r="I35" i="6"/>
  <c r="G35" i="6"/>
  <c r="F35" i="6"/>
  <c r="E35" i="6"/>
  <c r="E50" i="6"/>
  <c r="E65" i="6" s="1"/>
  <c r="I34" i="6"/>
  <c r="G34" i="6"/>
  <c r="F34" i="6"/>
  <c r="E34" i="6"/>
  <c r="I33" i="6"/>
  <c r="G33" i="6"/>
  <c r="F33" i="6"/>
  <c r="E33" i="6"/>
  <c r="E48" i="6"/>
  <c r="I32" i="6"/>
  <c r="G32" i="6"/>
  <c r="F32" i="6"/>
  <c r="E32" i="6"/>
  <c r="I31" i="6"/>
  <c r="G31" i="6"/>
  <c r="F31" i="6"/>
  <c r="E31" i="6"/>
  <c r="E46" i="6"/>
  <c r="I30" i="6" a="1"/>
  <c r="I30" i="6"/>
  <c r="G30" i="6" a="1"/>
  <c r="G30" i="6"/>
  <c r="I29" i="6" a="1"/>
  <c r="I29" i="6"/>
  <c r="I36" i="6"/>
  <c r="I28" i="6"/>
  <c r="G28" i="6"/>
  <c r="F28" i="6"/>
  <c r="E28" i="6"/>
  <c r="D28" i="6"/>
  <c r="C28" i="6"/>
  <c r="B28" i="6"/>
  <c r="I22" i="6"/>
  <c r="E18" i="6"/>
  <c r="E17" i="6"/>
  <c r="E16" i="6"/>
  <c r="E30" i="6" s="1"/>
  <c r="E45" i="6" s="1"/>
  <c r="E15" i="6"/>
  <c r="E29" i="6" s="1"/>
  <c r="E44" i="6" s="1"/>
  <c r="I14" i="6"/>
  <c r="G14" i="6"/>
  <c r="F14" i="6"/>
  <c r="E14" i="6"/>
  <c r="D14" i="6"/>
  <c r="C14" i="6"/>
  <c r="B14" i="6"/>
  <c r="K11" i="6"/>
  <c r="I10" i="6"/>
  <c r="G10" i="6"/>
  <c r="F10" i="6"/>
  <c r="E10" i="6"/>
  <c r="E21" i="6"/>
  <c r="I9" i="6"/>
  <c r="G9" i="6"/>
  <c r="F9" i="6"/>
  <c r="E9" i="6"/>
  <c r="E20" i="6" s="1"/>
  <c r="I8" i="6"/>
  <c r="G8" i="6"/>
  <c r="F8" i="6"/>
  <c r="E8" i="6"/>
  <c r="E19" i="6"/>
  <c r="I7" i="6"/>
  <c r="G7" i="6"/>
  <c r="F7" i="6"/>
  <c r="E7" i="6"/>
  <c r="I6" i="6"/>
  <c r="G6" i="6"/>
  <c r="F6" i="6"/>
  <c r="E6" i="6"/>
  <c r="I5" i="6"/>
  <c r="G5" i="6"/>
  <c r="I4" i="6"/>
  <c r="I11" i="6"/>
  <c r="G4" i="6"/>
  <c r="K3" i="6"/>
  <c r="I3" i="6"/>
  <c r="F3" i="6"/>
  <c r="E3" i="6"/>
  <c r="D3" i="6"/>
  <c r="C3" i="6"/>
  <c r="B3" i="6"/>
  <c r="F86" i="5"/>
  <c r="F82" i="6"/>
  <c r="F81" i="6"/>
  <c r="I38" i="6"/>
  <c r="F86" i="6"/>
  <c r="F82" i="5"/>
  <c r="F80" i="5"/>
  <c r="F73" i="6"/>
  <c r="B89" i="6"/>
  <c r="Q65" i="4"/>
  <c r="Q62" i="4"/>
  <c r="I72" i="4"/>
  <c r="H63" i="4"/>
  <c r="H62" i="4"/>
  <c r="F76" i="5"/>
  <c r="F75" i="5"/>
  <c r="H63" i="5"/>
  <c r="H62" i="5"/>
  <c r="F71" i="5"/>
  <c r="C71" i="5"/>
  <c r="E80" i="5"/>
  <c r="F70" i="5"/>
  <c r="F72" i="5"/>
  <c r="F69" i="5"/>
  <c r="C68" i="5"/>
  <c r="B68" i="5"/>
  <c r="C67" i="5"/>
  <c r="B67" i="5"/>
  <c r="M66" i="5"/>
  <c r="M67" i="5"/>
  <c r="M68" i="5"/>
  <c r="G65" i="5"/>
  <c r="G64" i="5"/>
  <c r="L63" i="5"/>
  <c r="G63" i="5"/>
  <c r="M62" i="5"/>
  <c r="M63" i="5"/>
  <c r="L62" i="5"/>
  <c r="G62" i="5"/>
  <c r="G61" i="5"/>
  <c r="I58" i="5"/>
  <c r="G58" i="5"/>
  <c r="F58" i="5"/>
  <c r="E58" i="5"/>
  <c r="D58" i="5"/>
  <c r="C58" i="5"/>
  <c r="B58" i="5"/>
  <c r="I50" i="5"/>
  <c r="G50" i="5"/>
  <c r="F50" i="5"/>
  <c r="I49" i="5"/>
  <c r="G49" i="5"/>
  <c r="F49" i="5"/>
  <c r="I48" i="5"/>
  <c r="G48" i="5"/>
  <c r="F48" i="5"/>
  <c r="I47" i="5"/>
  <c r="G47" i="5"/>
  <c r="F47" i="5"/>
  <c r="I46" i="5"/>
  <c r="G46" i="5"/>
  <c r="F46" i="5"/>
  <c r="I45" i="5" a="1"/>
  <c r="I45" i="5"/>
  <c r="I51" i="5"/>
  <c r="G45" i="5" a="1"/>
  <c r="G45" i="5"/>
  <c r="F44" i="5"/>
  <c r="I43" i="5"/>
  <c r="G43" i="5"/>
  <c r="F43" i="5"/>
  <c r="E43" i="5"/>
  <c r="D43" i="5"/>
  <c r="C43" i="5"/>
  <c r="B43" i="5"/>
  <c r="I35" i="5"/>
  <c r="G35" i="5"/>
  <c r="F35" i="5"/>
  <c r="E35" i="5"/>
  <c r="E50" i="5"/>
  <c r="E65" i="5" s="1"/>
  <c r="I34" i="5"/>
  <c r="G34" i="5"/>
  <c r="F34" i="5"/>
  <c r="E34" i="5"/>
  <c r="E49" i="5"/>
  <c r="E64" i="5" s="1"/>
  <c r="I33" i="5"/>
  <c r="G33" i="5"/>
  <c r="F33" i="5"/>
  <c r="E33" i="5"/>
  <c r="E48" i="5"/>
  <c r="I32" i="5"/>
  <c r="G32" i="5"/>
  <c r="F32" i="5"/>
  <c r="E32" i="5"/>
  <c r="E47" i="5"/>
  <c r="I31" i="5"/>
  <c r="G31" i="5"/>
  <c r="F31" i="5"/>
  <c r="E31" i="5"/>
  <c r="E46" i="5"/>
  <c r="I30" i="5" a="1"/>
  <c r="I30" i="5"/>
  <c r="G30" i="5" a="1"/>
  <c r="G30" i="5"/>
  <c r="I29" i="5" a="1"/>
  <c r="I29" i="5"/>
  <c r="I36" i="5"/>
  <c r="I39" i="5" s="1"/>
  <c r="I28" i="5"/>
  <c r="G28" i="5"/>
  <c r="F28" i="5"/>
  <c r="E28" i="5"/>
  <c r="D28" i="5"/>
  <c r="C28" i="5"/>
  <c r="B28" i="5"/>
  <c r="I22" i="5"/>
  <c r="E16" i="5"/>
  <c r="E30" i="5" s="1"/>
  <c r="E45" i="5" s="1"/>
  <c r="E15" i="5"/>
  <c r="E29" i="5" s="1"/>
  <c r="E44" i="5" s="1"/>
  <c r="I14" i="5"/>
  <c r="G14" i="5"/>
  <c r="F14" i="5"/>
  <c r="E14" i="5"/>
  <c r="D14" i="5"/>
  <c r="C14" i="5"/>
  <c r="B14" i="5"/>
  <c r="K11" i="5"/>
  <c r="I10" i="5"/>
  <c r="G10" i="5"/>
  <c r="F10" i="5"/>
  <c r="E10" i="5"/>
  <c r="E21" i="5" s="1"/>
  <c r="I9" i="5"/>
  <c r="G9" i="5"/>
  <c r="F9" i="5"/>
  <c r="E9" i="5"/>
  <c r="E20" i="5" s="1"/>
  <c r="I8" i="5"/>
  <c r="G8" i="5"/>
  <c r="F8" i="5"/>
  <c r="E8" i="5"/>
  <c r="E19" i="5"/>
  <c r="I7" i="5"/>
  <c r="G7" i="5"/>
  <c r="F7" i="5"/>
  <c r="E7" i="5"/>
  <c r="E18" i="5" s="1"/>
  <c r="I6" i="5"/>
  <c r="G6" i="5"/>
  <c r="F6" i="5"/>
  <c r="E6" i="5"/>
  <c r="E17" i="5"/>
  <c r="I5" i="5"/>
  <c r="G5" i="5"/>
  <c r="I4" i="5"/>
  <c r="I11" i="5" s="1"/>
  <c r="I24" i="5" s="1"/>
  <c r="G4" i="5"/>
  <c r="K3" i="5"/>
  <c r="I3" i="5"/>
  <c r="F3" i="5"/>
  <c r="E3" i="5"/>
  <c r="D3" i="5"/>
  <c r="C3" i="5"/>
  <c r="B3" i="5"/>
  <c r="F80" i="4"/>
  <c r="E80" i="4"/>
  <c r="F70" i="4"/>
  <c r="F69" i="4"/>
  <c r="F71" i="4"/>
  <c r="C68" i="4"/>
  <c r="B68" i="4"/>
  <c r="C67" i="4"/>
  <c r="B67" i="4"/>
  <c r="M66" i="4"/>
  <c r="M67" i="4"/>
  <c r="M68" i="4"/>
  <c r="G65" i="4"/>
  <c r="G64" i="4"/>
  <c r="L63" i="4"/>
  <c r="G63" i="4"/>
  <c r="M62" i="4"/>
  <c r="M63" i="4"/>
  <c r="L62" i="4"/>
  <c r="G62" i="4"/>
  <c r="G61" i="4"/>
  <c r="I58" i="4"/>
  <c r="G58" i="4"/>
  <c r="F58" i="4"/>
  <c r="E58" i="4"/>
  <c r="D58" i="4"/>
  <c r="C58" i="4"/>
  <c r="B58" i="4"/>
  <c r="I50" i="4"/>
  <c r="G50" i="4"/>
  <c r="F50" i="4"/>
  <c r="I49" i="4"/>
  <c r="G49" i="4"/>
  <c r="F49" i="4"/>
  <c r="I48" i="4"/>
  <c r="G48" i="4"/>
  <c r="F48" i="4"/>
  <c r="I47" i="4"/>
  <c r="G47" i="4"/>
  <c r="F47" i="4"/>
  <c r="I46" i="4"/>
  <c r="G46" i="4"/>
  <c r="F46" i="4"/>
  <c r="I45" i="4" a="1"/>
  <c r="I45" i="4"/>
  <c r="I51" i="4"/>
  <c r="G45" i="4" a="1"/>
  <c r="G45" i="4"/>
  <c r="F44" i="4"/>
  <c r="I43" i="4"/>
  <c r="G43" i="4"/>
  <c r="F43" i="4"/>
  <c r="E43" i="4"/>
  <c r="D43" i="4"/>
  <c r="C43" i="4"/>
  <c r="B43" i="4"/>
  <c r="I35" i="4"/>
  <c r="G35" i="4"/>
  <c r="F35" i="4"/>
  <c r="E35" i="4"/>
  <c r="E50" i="4"/>
  <c r="E65" i="4"/>
  <c r="I34" i="4"/>
  <c r="G34" i="4"/>
  <c r="F34" i="4"/>
  <c r="E34" i="4"/>
  <c r="E49" i="4"/>
  <c r="E64" i="4"/>
  <c r="I33" i="4"/>
  <c r="G33" i="4"/>
  <c r="F33" i="4"/>
  <c r="E33" i="4"/>
  <c r="E48" i="4"/>
  <c r="E63" i="4"/>
  <c r="I32" i="4"/>
  <c r="G32" i="4"/>
  <c r="F32" i="4"/>
  <c r="E32" i="4"/>
  <c r="E47" i="4"/>
  <c r="E62" i="4"/>
  <c r="I31" i="4"/>
  <c r="G31" i="4"/>
  <c r="F31" i="4"/>
  <c r="E31" i="4"/>
  <c r="E46" i="4"/>
  <c r="E61" i="4"/>
  <c r="E71" i="4"/>
  <c r="I30" i="4" a="1"/>
  <c r="I30" i="4"/>
  <c r="G30" i="4" a="1"/>
  <c r="G30" i="4"/>
  <c r="I29" i="4" a="1"/>
  <c r="I29" i="4"/>
  <c r="I36" i="4"/>
  <c r="I28" i="4"/>
  <c r="G28" i="4"/>
  <c r="F28" i="4"/>
  <c r="E28" i="4"/>
  <c r="D28" i="4"/>
  <c r="C28" i="4"/>
  <c r="B28" i="4"/>
  <c r="I22" i="4"/>
  <c r="E16" i="4"/>
  <c r="E30" i="4"/>
  <c r="E45" i="4"/>
  <c r="E15" i="4"/>
  <c r="E29" i="4"/>
  <c r="E44" i="4"/>
  <c r="I14" i="4"/>
  <c r="G14" i="4"/>
  <c r="F14" i="4"/>
  <c r="E14" i="4"/>
  <c r="D14" i="4"/>
  <c r="C14" i="4"/>
  <c r="B14" i="4"/>
  <c r="K11" i="4"/>
  <c r="I10" i="4"/>
  <c r="G10" i="4"/>
  <c r="F10" i="4"/>
  <c r="E10" i="4"/>
  <c r="E21" i="4" s="1"/>
  <c r="I9" i="4"/>
  <c r="G9" i="4"/>
  <c r="F9" i="4"/>
  <c r="E9" i="4"/>
  <c r="E20" i="4" s="1"/>
  <c r="I8" i="4"/>
  <c r="G8" i="4"/>
  <c r="F8" i="4"/>
  <c r="E8" i="4"/>
  <c r="E19" i="4" s="1"/>
  <c r="I7" i="4"/>
  <c r="G7" i="4"/>
  <c r="F7" i="4"/>
  <c r="E7" i="4"/>
  <c r="E18" i="4" s="1"/>
  <c r="I6" i="4"/>
  <c r="G6" i="4"/>
  <c r="F6" i="4"/>
  <c r="E6" i="4"/>
  <c r="E17" i="4"/>
  <c r="I5" i="4"/>
  <c r="G5" i="4"/>
  <c r="I4" i="4"/>
  <c r="I11" i="4" s="1"/>
  <c r="G4" i="4"/>
  <c r="K3" i="4"/>
  <c r="I3" i="4"/>
  <c r="F3" i="4"/>
  <c r="E3" i="4"/>
  <c r="D3" i="4"/>
  <c r="C3" i="4"/>
  <c r="B3" i="4"/>
  <c r="B87" i="2"/>
  <c r="F70" i="3"/>
  <c r="F69" i="3"/>
  <c r="E79" i="3"/>
  <c r="F79" i="3"/>
  <c r="C68" i="3"/>
  <c r="B68" i="3"/>
  <c r="C67" i="3"/>
  <c r="B67" i="3"/>
  <c r="L66" i="3"/>
  <c r="L67" i="3"/>
  <c r="L68" i="3"/>
  <c r="G65" i="3"/>
  <c r="G64" i="3"/>
  <c r="K63" i="3"/>
  <c r="G63" i="3"/>
  <c r="L62" i="3"/>
  <c r="L63" i="3"/>
  <c r="K62" i="3"/>
  <c r="G62" i="3"/>
  <c r="G61" i="3"/>
  <c r="H58" i="3"/>
  <c r="G58" i="3"/>
  <c r="F58" i="3"/>
  <c r="E58" i="3"/>
  <c r="D58" i="3"/>
  <c r="C58" i="3"/>
  <c r="B58" i="3"/>
  <c r="H50" i="3"/>
  <c r="G50" i="3"/>
  <c r="F50" i="3"/>
  <c r="H49" i="3"/>
  <c r="G49" i="3"/>
  <c r="F49" i="3"/>
  <c r="H48" i="3"/>
  <c r="G48" i="3"/>
  <c r="F48" i="3"/>
  <c r="H47" i="3"/>
  <c r="G47" i="3"/>
  <c r="F47" i="3"/>
  <c r="H46" i="3"/>
  <c r="G46" i="3"/>
  <c r="F46" i="3"/>
  <c r="E46" i="3"/>
  <c r="E61" i="3"/>
  <c r="H45" i="3" a="1"/>
  <c r="H45" i="3"/>
  <c r="H51" i="3"/>
  <c r="G45" i="3" a="1"/>
  <c r="G45" i="3"/>
  <c r="F44" i="3"/>
  <c r="H43" i="3"/>
  <c r="G43" i="3"/>
  <c r="F43" i="3"/>
  <c r="E43" i="3"/>
  <c r="D43" i="3"/>
  <c r="C43" i="3"/>
  <c r="B43" i="3"/>
  <c r="H35" i="3"/>
  <c r="G35" i="3"/>
  <c r="F35" i="3"/>
  <c r="E35" i="3"/>
  <c r="E50" i="3"/>
  <c r="E65" i="3"/>
  <c r="H34" i="3"/>
  <c r="G34" i="3"/>
  <c r="F34" i="3"/>
  <c r="E34" i="3"/>
  <c r="E49" i="3"/>
  <c r="E64" i="3"/>
  <c r="H33" i="3"/>
  <c r="G33" i="3"/>
  <c r="F33" i="3"/>
  <c r="E33" i="3"/>
  <c r="E48" i="3"/>
  <c r="E63" i="3"/>
  <c r="H32" i="3"/>
  <c r="G32" i="3"/>
  <c r="F32" i="3"/>
  <c r="E32" i="3"/>
  <c r="E47" i="3"/>
  <c r="E62" i="3"/>
  <c r="H31" i="3"/>
  <c r="G31" i="3"/>
  <c r="F31" i="3"/>
  <c r="E31" i="3"/>
  <c r="H30" i="3" a="1"/>
  <c r="H30" i="3"/>
  <c r="G30" i="3" a="1"/>
  <c r="G30" i="3"/>
  <c r="H29" i="3" a="1"/>
  <c r="H29" i="3"/>
  <c r="H36" i="3"/>
  <c r="H28" i="3"/>
  <c r="G28" i="3"/>
  <c r="F28" i="3"/>
  <c r="E28" i="3"/>
  <c r="D28" i="3"/>
  <c r="C28" i="3"/>
  <c r="B28" i="3"/>
  <c r="H22" i="3"/>
  <c r="E19" i="3"/>
  <c r="E16" i="3"/>
  <c r="E30" i="3"/>
  <c r="E45" i="3"/>
  <c r="E15" i="3"/>
  <c r="E29" i="3"/>
  <c r="E44" i="3"/>
  <c r="H14" i="3"/>
  <c r="G14" i="3"/>
  <c r="F14" i="3"/>
  <c r="E14" i="3"/>
  <c r="D14" i="3"/>
  <c r="C14" i="3"/>
  <c r="B14" i="3"/>
  <c r="J11" i="3"/>
  <c r="H10" i="3"/>
  <c r="G10" i="3"/>
  <c r="F10" i="3"/>
  <c r="E10" i="3"/>
  <c r="E21" i="3"/>
  <c r="H9" i="3"/>
  <c r="G9" i="3"/>
  <c r="F9" i="3"/>
  <c r="E9" i="3"/>
  <c r="E20" i="3"/>
  <c r="H8" i="3"/>
  <c r="G8" i="3"/>
  <c r="F8" i="3"/>
  <c r="E8" i="3"/>
  <c r="H7" i="3"/>
  <c r="G7" i="3"/>
  <c r="F7" i="3"/>
  <c r="E7" i="3"/>
  <c r="E18" i="3" s="1"/>
  <c r="H6" i="3"/>
  <c r="G6" i="3"/>
  <c r="F6" i="3"/>
  <c r="E6" i="3"/>
  <c r="E17" i="3"/>
  <c r="H5" i="3"/>
  <c r="G5" i="3"/>
  <c r="H4" i="3"/>
  <c r="H11" i="3"/>
  <c r="H38" i="3" s="1"/>
  <c r="H24" i="3"/>
  <c r="G4" i="3"/>
  <c r="J3" i="3"/>
  <c r="H3" i="3"/>
  <c r="F3" i="3"/>
  <c r="E3" i="3"/>
  <c r="D3" i="3"/>
  <c r="C3" i="3"/>
  <c r="B3" i="3"/>
  <c r="L76" i="2"/>
  <c r="F76" i="2"/>
  <c r="F81" i="5"/>
  <c r="E82" i="4"/>
  <c r="F82" i="4"/>
  <c r="F81" i="4"/>
  <c r="I54" i="4"/>
  <c r="I39" i="4"/>
  <c r="F71" i="3"/>
  <c r="F81" i="3"/>
  <c r="F72" i="3"/>
  <c r="B88" i="3"/>
  <c r="E71" i="3"/>
  <c r="E81" i="3"/>
  <c r="H39" i="3"/>
  <c r="H54" i="3"/>
  <c r="L66" i="2"/>
  <c r="L67" i="2"/>
  <c r="L68" i="2"/>
  <c r="C68" i="2"/>
  <c r="C67" i="2"/>
  <c r="B68" i="2"/>
  <c r="B67" i="2"/>
  <c r="F72" i="4"/>
  <c r="B89" i="4"/>
  <c r="F80" i="3"/>
  <c r="H69" i="2"/>
  <c r="K63" i="2"/>
  <c r="K62" i="2"/>
  <c r="F78" i="2"/>
  <c r="E78" i="2"/>
  <c r="F70" i="2"/>
  <c r="G65" i="2"/>
  <c r="G64" i="2"/>
  <c r="G63" i="2"/>
  <c r="L62" i="2"/>
  <c r="L63" i="2"/>
  <c r="G62" i="2"/>
  <c r="G61" i="2"/>
  <c r="H58" i="2"/>
  <c r="G58" i="2"/>
  <c r="F58" i="2"/>
  <c r="E58" i="2"/>
  <c r="D58" i="2"/>
  <c r="C58" i="2"/>
  <c r="B58" i="2"/>
  <c r="H50" i="2"/>
  <c r="G50" i="2"/>
  <c r="F50" i="2"/>
  <c r="H49" i="2"/>
  <c r="G49" i="2"/>
  <c r="F49" i="2"/>
  <c r="E49" i="2"/>
  <c r="E64" i="2"/>
  <c r="H48" i="2"/>
  <c r="G48" i="2"/>
  <c r="F48" i="2"/>
  <c r="H47" i="2"/>
  <c r="G47" i="2"/>
  <c r="F47" i="2"/>
  <c r="E47" i="2"/>
  <c r="E62" i="2"/>
  <c r="H46" i="2"/>
  <c r="G46" i="2"/>
  <c r="F46" i="2"/>
  <c r="H45" i="2" a="1"/>
  <c r="H45" i="2"/>
  <c r="H51" i="2"/>
  <c r="G45" i="2" a="1"/>
  <c r="G45" i="2"/>
  <c r="F44" i="2"/>
  <c r="H43" i="2"/>
  <c r="G43" i="2"/>
  <c r="F43" i="2"/>
  <c r="E43" i="2"/>
  <c r="D43" i="2"/>
  <c r="C43" i="2"/>
  <c r="B43" i="2"/>
  <c r="H35" i="2"/>
  <c r="G35" i="2"/>
  <c r="F35" i="2"/>
  <c r="E35" i="2"/>
  <c r="E50" i="2"/>
  <c r="E65" i="2"/>
  <c r="H34" i="2"/>
  <c r="G34" i="2"/>
  <c r="F34" i="2"/>
  <c r="E34" i="2"/>
  <c r="H33" i="2"/>
  <c r="G33" i="2"/>
  <c r="F33" i="2"/>
  <c r="E33" i="2"/>
  <c r="E48" i="2"/>
  <c r="E63" i="2"/>
  <c r="H32" i="2"/>
  <c r="G32" i="2"/>
  <c r="F32" i="2"/>
  <c r="E32" i="2"/>
  <c r="H31" i="2"/>
  <c r="G31" i="2"/>
  <c r="F31" i="2"/>
  <c r="E31" i="2"/>
  <c r="E46" i="2"/>
  <c r="E61" i="2"/>
  <c r="H30" i="2" a="1"/>
  <c r="H30" i="2"/>
  <c r="G30" i="2" a="1"/>
  <c r="G30" i="2"/>
  <c r="H29" i="2" a="1"/>
  <c r="H29" i="2"/>
  <c r="H36" i="2"/>
  <c r="H28" i="2"/>
  <c r="G28" i="2"/>
  <c r="F28" i="2"/>
  <c r="E28" i="2"/>
  <c r="D28" i="2"/>
  <c r="C28" i="2"/>
  <c r="B28" i="2"/>
  <c r="H22" i="2"/>
  <c r="E16" i="2"/>
  <c r="E30" i="2"/>
  <c r="E45" i="2"/>
  <c r="E15" i="2"/>
  <c r="E29" i="2"/>
  <c r="E44" i="2"/>
  <c r="H14" i="2"/>
  <c r="G14" i="2"/>
  <c r="F14" i="2"/>
  <c r="E14" i="2"/>
  <c r="D14" i="2"/>
  <c r="C14" i="2"/>
  <c r="B14" i="2"/>
  <c r="J11" i="2"/>
  <c r="H10" i="2"/>
  <c r="G10" i="2"/>
  <c r="F10" i="2"/>
  <c r="E10" i="2"/>
  <c r="E21" i="2"/>
  <c r="H9" i="2"/>
  <c r="G9" i="2"/>
  <c r="F9" i="2"/>
  <c r="E9" i="2"/>
  <c r="E20" i="2" s="1"/>
  <c r="H8" i="2"/>
  <c r="G8" i="2"/>
  <c r="F8" i="2"/>
  <c r="E8" i="2"/>
  <c r="E19" i="2" s="1"/>
  <c r="H7" i="2"/>
  <c r="G7" i="2"/>
  <c r="F7" i="2"/>
  <c r="E7" i="2"/>
  <c r="E18" i="2"/>
  <c r="H6" i="2"/>
  <c r="G6" i="2"/>
  <c r="F6" i="2"/>
  <c r="E6" i="2"/>
  <c r="E17" i="2"/>
  <c r="H5" i="2"/>
  <c r="G5" i="2"/>
  <c r="H4" i="2"/>
  <c r="H11" i="2"/>
  <c r="H53" i="2" s="1"/>
  <c r="G4" i="2"/>
  <c r="J3" i="2"/>
  <c r="H3" i="2"/>
  <c r="F3" i="2"/>
  <c r="E3" i="2"/>
  <c r="D3" i="2"/>
  <c r="C3" i="2"/>
  <c r="B3" i="2"/>
  <c r="F80" i="2"/>
  <c r="F79" i="2"/>
  <c r="H54" i="2"/>
  <c r="E70" i="2"/>
  <c r="E80" i="2"/>
  <c r="H39" i="2"/>
  <c r="H38" i="2"/>
  <c r="F79" i="1"/>
  <c r="F80" i="1"/>
  <c r="E80" i="1"/>
  <c r="F71" i="2"/>
  <c r="L62" i="1"/>
  <c r="L63" i="1"/>
  <c r="L60" i="1"/>
  <c r="L59" i="1"/>
  <c r="G58" i="1"/>
  <c r="G43" i="1"/>
  <c r="G28" i="1"/>
  <c r="G14" i="1"/>
  <c r="G65" i="1"/>
  <c r="G64" i="1"/>
  <c r="G63" i="1"/>
  <c r="G62" i="1"/>
  <c r="G61" i="1"/>
  <c r="H69" i="1"/>
  <c r="H58" i="1"/>
  <c r="F58" i="1"/>
  <c r="E58" i="1"/>
  <c r="D58" i="1"/>
  <c r="C58" i="1"/>
  <c r="B58" i="1"/>
  <c r="F44" i="1"/>
  <c r="F70" i="1"/>
  <c r="F82" i="1"/>
  <c r="F81" i="1"/>
  <c r="F71" i="1"/>
  <c r="H50" i="1"/>
  <c r="H49" i="1"/>
  <c r="F50" i="1"/>
  <c r="F49" i="1"/>
  <c r="H48" i="1"/>
  <c r="H47" i="1"/>
  <c r="H46" i="1"/>
  <c r="F48" i="1"/>
  <c r="F47" i="1"/>
  <c r="F46" i="1"/>
  <c r="H45" i="1" a="1"/>
  <c r="H45" i="1"/>
  <c r="G50" i="1"/>
  <c r="G49" i="1"/>
  <c r="G48" i="1"/>
  <c r="G47" i="1"/>
  <c r="G46" i="1"/>
  <c r="G45" i="1" a="1"/>
  <c r="G45" i="1"/>
  <c r="H51" i="1"/>
  <c r="H43" i="1"/>
  <c r="F43" i="1"/>
  <c r="E43" i="1"/>
  <c r="D43" i="1"/>
  <c r="C43" i="1"/>
  <c r="B43" i="1"/>
  <c r="H30" i="1" a="1"/>
  <c r="H30" i="1"/>
  <c r="G30" i="1" a="1"/>
  <c r="G30" i="1"/>
  <c r="H29" i="1" a="1"/>
  <c r="H29" i="1"/>
  <c r="E6" i="1"/>
  <c r="H35" i="1"/>
  <c r="H34" i="1"/>
  <c r="G35" i="1"/>
  <c r="G34" i="1"/>
  <c r="F35" i="1"/>
  <c r="F34" i="1"/>
  <c r="E35" i="1"/>
  <c r="E50" i="1"/>
  <c r="E65" i="1"/>
  <c r="E34" i="1"/>
  <c r="E49" i="1"/>
  <c r="E64" i="1"/>
  <c r="H33" i="1"/>
  <c r="H32" i="1"/>
  <c r="H31" i="1"/>
  <c r="G33" i="1"/>
  <c r="G32" i="1"/>
  <c r="G31" i="1"/>
  <c r="F33" i="1"/>
  <c r="F32" i="1"/>
  <c r="F31" i="1"/>
  <c r="E33" i="1"/>
  <c r="E48" i="1"/>
  <c r="E63" i="1"/>
  <c r="E32" i="1"/>
  <c r="E47" i="1"/>
  <c r="E62" i="1"/>
  <c r="E31" i="1"/>
  <c r="E46" i="1"/>
  <c r="E61" i="1"/>
  <c r="H36" i="1"/>
  <c r="H28" i="1"/>
  <c r="F28" i="1"/>
  <c r="E28" i="1"/>
  <c r="D28" i="1"/>
  <c r="C28" i="1"/>
  <c r="B28" i="1"/>
  <c r="H54" i="1"/>
  <c r="H22" i="1"/>
  <c r="H39" i="1"/>
  <c r="H14" i="1"/>
  <c r="F14" i="1"/>
  <c r="E14" i="1"/>
  <c r="D14" i="1"/>
  <c r="C14" i="1"/>
  <c r="B14" i="1"/>
  <c r="J3" i="1"/>
  <c r="J11" i="1"/>
  <c r="G5" i="1"/>
  <c r="G4" i="1"/>
  <c r="H10" i="1"/>
  <c r="H9" i="1"/>
  <c r="G9" i="1"/>
  <c r="G10" i="1"/>
  <c r="F9" i="1"/>
  <c r="F10" i="1"/>
  <c r="E10" i="1"/>
  <c r="E21" i="1" s="1"/>
  <c r="E9" i="1"/>
  <c r="E20" i="1" s="1"/>
  <c r="H8" i="1"/>
  <c r="H7" i="1"/>
  <c r="H6" i="1"/>
  <c r="G8" i="1"/>
  <c r="G7" i="1"/>
  <c r="G6" i="1"/>
  <c r="F6" i="1"/>
  <c r="F7" i="1"/>
  <c r="F8" i="1"/>
  <c r="E7" i="1"/>
  <c r="E18" i="1" s="1"/>
  <c r="E8" i="1"/>
  <c r="E19" i="1"/>
  <c r="E17" i="1"/>
  <c r="H5" i="1"/>
  <c r="E16" i="1"/>
  <c r="E30" i="1"/>
  <c r="E45" i="1"/>
  <c r="E60" i="1"/>
  <c r="B3" i="1"/>
  <c r="H3" i="1"/>
  <c r="F3" i="1"/>
  <c r="E3" i="1"/>
  <c r="D3" i="1"/>
  <c r="C3" i="1"/>
  <c r="H4" i="1"/>
  <c r="H11" i="1" s="1"/>
  <c r="E15" i="1"/>
  <c r="E29" i="1"/>
  <c r="E44" i="1"/>
  <c r="E70" i="1"/>
  <c r="E82" i="1"/>
  <c r="H24" i="1" l="1"/>
  <c r="H53" i="1"/>
  <c r="H38" i="1"/>
  <c r="I38" i="4"/>
  <c r="I24" i="4"/>
  <c r="I53" i="4"/>
  <c r="H24" i="2"/>
  <c r="H53" i="3"/>
  <c r="F23" i="7"/>
  <c r="E72" i="5"/>
  <c r="E82" i="5" s="1"/>
  <c r="I38" i="5"/>
  <c r="I53" i="5"/>
  <c r="I54" i="5"/>
  <c r="I39" i="6"/>
  <c r="I24" i="6"/>
  <c r="I53" i="6"/>
  <c r="F16" i="7" l="1"/>
  <c r="B30" i="7" s="1"/>
  <c r="F2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Johanne Brien</author>
  </authors>
  <commentList>
    <comment ref="A77" authorId="0" shapeId="0" xr:uid="{E40F80F4-749B-4E2C-95AF-425A0889FD90}">
      <text>
        <r>
          <rPr>
            <b/>
            <sz val="9"/>
            <color indexed="81"/>
            <rFont val="Tahoma"/>
            <family val="2"/>
          </rPr>
          <t>Johanne Brien:</t>
        </r>
        <r>
          <rPr>
            <sz val="9"/>
            <color indexed="81"/>
            <rFont val="Tahoma"/>
            <family val="2"/>
          </rPr>
          <t xml:space="preserve">
en cours de renouvellement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Johanne Brien</author>
  </authors>
  <commentList>
    <comment ref="A76" authorId="0" shapeId="0" xr:uid="{348F61A4-1614-4F28-BB40-08E37A199C2F}">
      <text>
        <r>
          <rPr>
            <b/>
            <sz val="9"/>
            <color indexed="81"/>
            <rFont val="Tahoma"/>
            <family val="2"/>
          </rPr>
          <t>Johanne Brien:</t>
        </r>
        <r>
          <rPr>
            <sz val="9"/>
            <color indexed="81"/>
            <rFont val="Tahoma"/>
            <family val="2"/>
          </rPr>
          <t xml:space="preserve">
en cours de renouvellement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<sst xmlns="http://schemas.openxmlformats.org/spreadsheetml/2006/main" count="1121" uniqueCount="158">
  <si>
    <t xml:space="preserve">JVM </t>
  </si>
  <si>
    <t>Des pommetiers</t>
  </si>
  <si>
    <t>Des Patriotes</t>
  </si>
  <si>
    <t>Jardins d'Aurélie</t>
  </si>
  <si>
    <t>Sedna Finance (Villa Medica)</t>
  </si>
  <si>
    <t>Sedna Finance (Artisan))</t>
  </si>
  <si>
    <t>valeur au 16 mars 2020</t>
  </si>
  <si>
    <t>variance avec 31-12-2019</t>
  </si>
  <si>
    <t>variance avec TR précédement</t>
  </si>
  <si>
    <t>Dette avec des contrats de SWAP de taux d'intérets</t>
  </si>
  <si>
    <t>Taux Swap</t>
  </si>
  <si>
    <t>Amort.</t>
  </si>
  <si>
    <t>96 mois</t>
  </si>
  <si>
    <t>336 mois</t>
  </si>
  <si>
    <t xml:space="preserve">16 ans </t>
  </si>
  <si>
    <t>durée restante SWAP</t>
  </si>
  <si>
    <t xml:space="preserve">terme dette </t>
  </si>
  <si>
    <t>C redit Rotatif</t>
  </si>
  <si>
    <t>dette Swappée</t>
  </si>
  <si>
    <t>Dette non swappée</t>
  </si>
  <si>
    <t>Sedna Finance (Roselière))</t>
  </si>
  <si>
    <t>BNC Stand alone</t>
  </si>
  <si>
    <t xml:space="preserve">Crédit de construction </t>
  </si>
  <si>
    <t>dette totale</t>
  </si>
  <si>
    <t>syndicat bancaire (BNC - TD)</t>
  </si>
  <si>
    <t xml:space="preserve">solde restant </t>
  </si>
  <si>
    <t>N/A</t>
  </si>
  <si>
    <t>15 ans</t>
  </si>
  <si>
    <t xml:space="preserve">30 ans </t>
  </si>
  <si>
    <t>16 ans</t>
  </si>
  <si>
    <t xml:space="preserve">6 ans </t>
  </si>
  <si>
    <t>25 ans</t>
  </si>
  <si>
    <t>amort. Initial</t>
  </si>
  <si>
    <t>30-09-2021</t>
  </si>
  <si>
    <t>2 mois</t>
  </si>
  <si>
    <t>32 mois</t>
  </si>
  <si>
    <t>300 mois</t>
  </si>
  <si>
    <t>20 mois</t>
  </si>
  <si>
    <t xml:space="preserve">200 mois </t>
  </si>
  <si>
    <t>dette intiale</t>
  </si>
  <si>
    <t xml:space="preserve">25 ans </t>
  </si>
  <si>
    <t xml:space="preserve">conversion prêt de construction en prêt à terme </t>
  </si>
  <si>
    <t>Swap arrimé avec le terme de la dette</t>
  </si>
  <si>
    <t xml:space="preserve">Swap non arrimé avce le terme de la dette </t>
  </si>
  <si>
    <t>en date du 30 sept 2021</t>
  </si>
  <si>
    <t>43% de la dette est adossée à des swap</t>
  </si>
  <si>
    <t>au 30 nov 2021</t>
  </si>
  <si>
    <t>swap dette les pionnières</t>
  </si>
  <si>
    <t>73 % de la dette sera adossée  à des swap</t>
  </si>
  <si>
    <t xml:space="preserve">Sedna finances </t>
  </si>
  <si>
    <t>30-09-2022</t>
  </si>
  <si>
    <t>Sedna finances (Pionnières)</t>
  </si>
  <si>
    <t>2022--02-16</t>
  </si>
  <si>
    <t>8 mois</t>
  </si>
  <si>
    <t xml:space="preserve">188 mois </t>
  </si>
  <si>
    <t>terme de la dette</t>
  </si>
  <si>
    <t>en date du 30 sept 2022</t>
  </si>
  <si>
    <t>??</t>
  </si>
  <si>
    <t>123 mois</t>
  </si>
  <si>
    <t>63 mois</t>
  </si>
  <si>
    <t xml:space="preserve">183 mois </t>
  </si>
  <si>
    <t xml:space="preserve">5 ans </t>
  </si>
  <si>
    <t xml:space="preserve">* une valeur positive est en faveur de la BNC et une valeur négative est en faveur du client </t>
  </si>
  <si>
    <t xml:space="preserve">1 an </t>
  </si>
  <si>
    <t xml:space="preserve">taux variable + frais d'estampillage </t>
  </si>
  <si>
    <t>selon ratio CCF: 2.25% à 4,25%</t>
  </si>
  <si>
    <r>
      <rPr>
        <strike/>
        <sz val="11"/>
        <color theme="1"/>
        <rFont val="Calibri"/>
        <family val="2"/>
        <scheme val="minor"/>
      </rPr>
      <t xml:space="preserve">43% </t>
    </r>
    <r>
      <rPr>
        <sz val="11"/>
        <color theme="1"/>
        <rFont val="Calibri"/>
        <family val="2"/>
        <scheme val="minor"/>
      </rPr>
      <t>de la dette est adossée à des swap</t>
    </r>
  </si>
  <si>
    <t>120 mois</t>
  </si>
  <si>
    <r>
      <rPr>
        <strike/>
        <sz val="11"/>
        <color theme="1"/>
        <rFont val="Calibri"/>
        <family val="2"/>
        <scheme val="minor"/>
      </rPr>
      <t>43%</t>
    </r>
    <r>
      <rPr>
        <sz val="11"/>
        <color theme="1"/>
        <rFont val="Calibri"/>
        <family val="2"/>
        <scheme val="minor"/>
      </rPr>
      <t xml:space="preserve"> de la dette est adossée à des swap</t>
    </r>
  </si>
  <si>
    <t>BNC</t>
  </si>
  <si>
    <t xml:space="preserve">+ taux variable </t>
  </si>
  <si>
    <t>Sedna Finance Roselière</t>
  </si>
  <si>
    <t xml:space="preserve">frais d'estampillage </t>
  </si>
  <si>
    <t>30-12-2022</t>
  </si>
  <si>
    <t>Positif = en faveur de Banque</t>
  </si>
  <si>
    <t xml:space="preserve">négative en faveur du client </t>
  </si>
  <si>
    <t>TD</t>
  </si>
  <si>
    <t>taux variable au 31-12-2022</t>
  </si>
  <si>
    <t>Jardins d'Aurele</t>
  </si>
  <si>
    <t>variable</t>
  </si>
  <si>
    <t>Date de transaction</t>
  </si>
  <si>
    <t>Date de début</t>
  </si>
  <si>
    <t>Échéance</t>
  </si>
  <si>
    <t>Nominal initial du contrat</t>
  </si>
  <si>
    <t>29/05/2018</t>
  </si>
  <si>
    <t>26/11/2018</t>
  </si>
  <si>
    <t>26/05/2038</t>
  </si>
  <si>
    <t xml:space="preserve">     21 557 728  $ </t>
  </si>
  <si>
    <t>2,94%</t>
  </si>
  <si>
    <t>28/02/2022</t>
  </si>
  <si>
    <t>26/02/2032</t>
  </si>
  <si>
    <t xml:space="preserve">     24 700 000  $ </t>
  </si>
  <si>
    <t>26/02/2027</t>
  </si>
  <si>
    <t xml:space="preserve">     10 000 000  $ </t>
  </si>
  <si>
    <t>2,36%</t>
  </si>
  <si>
    <t>26/02/2037</t>
  </si>
  <si>
    <t>2,60%</t>
  </si>
  <si>
    <t>Nominal restant</t>
  </si>
  <si>
    <t>Valeur indicative*</t>
  </si>
  <si>
    <t xml:space="preserve">Frais d'estampillage </t>
  </si>
  <si>
    <t>Terme de la dette</t>
  </si>
  <si>
    <t>Durée restante SWAP</t>
  </si>
  <si>
    <t xml:space="preserve">Terme dette </t>
  </si>
  <si>
    <t>Amort. Initial</t>
  </si>
  <si>
    <t xml:space="preserve">Négative = en faveur du client </t>
  </si>
  <si>
    <t>Dette intiale</t>
  </si>
  <si>
    <t xml:space="preserve">Solde restant </t>
  </si>
  <si>
    <t>en date du 30 juin 2024</t>
  </si>
  <si>
    <t>de la dette est adossée à des swap</t>
  </si>
  <si>
    <t>Crédit Rotatif</t>
  </si>
  <si>
    <t xml:space="preserve">151 mois </t>
  </si>
  <si>
    <t>91 mois</t>
  </si>
  <si>
    <t xml:space="preserve">166 mois </t>
  </si>
  <si>
    <t>100 mois</t>
  </si>
  <si>
    <t>9 mois</t>
  </si>
  <si>
    <t xml:space="preserve">Swap non arrimé avec le terme de la dette </t>
  </si>
  <si>
    <t>Dette swappée</t>
  </si>
  <si>
    <t>Dette totale</t>
  </si>
  <si>
    <t>Positive = en faveur de Banque</t>
  </si>
  <si>
    <t>en date du 31 juillet 2024</t>
  </si>
  <si>
    <t>2024-07-31 pro forma</t>
  </si>
  <si>
    <t>Sedna Finance</t>
  </si>
  <si>
    <t xml:space="preserve">60 mois </t>
  </si>
  <si>
    <t>syndicat bancaire (BNC - TD - BMO)</t>
  </si>
  <si>
    <t>taux variable + frais d'estampillage (2,00%)</t>
  </si>
  <si>
    <t>Limite</t>
  </si>
  <si>
    <t>Crédit A</t>
  </si>
  <si>
    <t>Frais d'estampillage + ajustement de l'écart de crédit</t>
  </si>
  <si>
    <t xml:space="preserve">Sedna Finance </t>
  </si>
  <si>
    <t>118 mois</t>
  </si>
  <si>
    <t xml:space="preserve">58 mois </t>
  </si>
  <si>
    <t>58 mois</t>
  </si>
  <si>
    <t xml:space="preserve">34 mois </t>
  </si>
  <si>
    <t>taux variable + frais d'estampillage (2,00%) + ajustement de l'écart de crédit (0,29547%)</t>
  </si>
  <si>
    <t>en date du 30 septembre 2024</t>
  </si>
  <si>
    <t>115 mois</t>
  </si>
  <si>
    <t>NA- Crédit rotatif</t>
  </si>
  <si>
    <t xml:space="preserve">55 mois </t>
  </si>
  <si>
    <t>55 mois</t>
  </si>
  <si>
    <t xml:space="preserve">29 mois </t>
  </si>
  <si>
    <t xml:space="preserve">24 mois </t>
  </si>
  <si>
    <t>Crédit B</t>
  </si>
  <si>
    <t>en date du 31 décembre 2024</t>
  </si>
  <si>
    <t>112 mois</t>
  </si>
  <si>
    <t xml:space="preserve">52 mois </t>
  </si>
  <si>
    <t>52 mois</t>
  </si>
  <si>
    <t xml:space="preserve">26 mois </t>
  </si>
  <si>
    <t xml:space="preserve">21 mois </t>
  </si>
  <si>
    <t xml:space="preserve">22 mois </t>
  </si>
  <si>
    <t>en date du 31 mars 2025</t>
  </si>
  <si>
    <t>109 mois</t>
  </si>
  <si>
    <t xml:space="preserve">49 mois </t>
  </si>
  <si>
    <t>BMO</t>
  </si>
  <si>
    <t xml:space="preserve">23 mois </t>
  </si>
  <si>
    <t xml:space="preserve">18 mois </t>
  </si>
  <si>
    <t xml:space="preserve">19 mois </t>
  </si>
  <si>
    <t>en date du 30 juin 2025</t>
  </si>
  <si>
    <t>Valeur indicative*
Modfiée AMG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</si>
</sst>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.00_)\ &quot;$&quot;_ ;_ * \(#,##0.00\)\ &quot;$&quot;_ ;_ * &quot;-&quot;??_)\ &quot;$&quot;_ ;_ @_ "/>
    <numFmt numFmtId="165" formatCode="_ * #,##0.00_)_ ;_ * \(#,##0.00\)_ ;_ * &quot;-&quot;??_)_ ;_ @_ "/>
    <numFmt numFmtId="166" formatCode="_ * #,##0_)\ &quot;$&quot;_ ;_ * \(#,##0\)\ &quot;$&quot;_ ;_ * &quot;-&quot;??_)\ &quot;$&quot;_ ;_ @_ "/>
    <numFmt numFmtId="167" formatCode="_ * #,##0_)_ ;_ * \(#,##0\)_ ;_ * &quot;-&quot;??_)_ ;_ @_ "/>
    <numFmt numFmtId="168" formatCode="0.000%"/>
    <numFmt numFmtId="169" formatCode="0.0000%"/>
  </numFmts>
  <fonts count="1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trike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1F497D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rgb="FF0070C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328">
    <xf numFmtId="0" fontId="0" fillId="0" borderId="0" xfId="0"/>
    <xf numFmtId="166" fontId="0" fillId="0" borderId="0" xfId="1" applyNumberFormat="1" applyFont="1"/>
    <xf numFmtId="0" fontId="0" fillId="0" borderId="1" xfId="0" applyBorder="1"/>
    <xf numFmtId="4" fontId="0" fillId="0" borderId="0" xfId="0" applyNumberFormat="1" applyAlignment="1">
      <alignment vertical="center" wrapText="1"/>
    </xf>
    <xf numFmtId="40" fontId="0" fillId="0" borderId="2" xfId="0" applyNumberFormat="1" applyBorder="1" applyAlignment="1">
      <alignment vertical="center" wrapText="1"/>
    </xf>
    <xf numFmtId="14" fontId="0" fillId="0" borderId="1" xfId="0" applyNumberFormat="1" applyBorder="1"/>
    <xf numFmtId="14" fontId="0" fillId="0" borderId="0" xfId="0" applyNumberFormat="1"/>
    <xf numFmtId="166" fontId="0" fillId="0" borderId="0" xfId="1" applyNumberFormat="1" applyFont="1" applyBorder="1"/>
    <xf numFmtId="10" fontId="0" fillId="0" borderId="0" xfId="2" applyNumberFormat="1" applyFont="1" applyBorder="1"/>
    <xf numFmtId="166" fontId="0" fillId="0" borderId="2" xfId="1" applyNumberFormat="1" applyFont="1" applyBorder="1"/>
    <xf numFmtId="0" fontId="0" fillId="0" borderId="3" xfId="0" applyBorder="1"/>
    <xf numFmtId="0" fontId="0" fillId="0" borderId="4" xfId="0" applyBorder="1"/>
    <xf numFmtId="166" fontId="0" fillId="0" borderId="4" xfId="1" applyNumberFormat="1" applyFont="1" applyBorder="1"/>
    <xf numFmtId="166" fontId="5" fillId="0" borderId="5" xfId="1" applyNumberFormat="1" applyFont="1" applyBorder="1"/>
    <xf numFmtId="15" fontId="0" fillId="0" borderId="9" xfId="0" applyNumberFormat="1" applyBorder="1"/>
    <xf numFmtId="40" fontId="0" fillId="0" borderId="10" xfId="0" applyNumberFormat="1" applyBorder="1" applyAlignment="1">
      <alignment vertical="center" wrapText="1"/>
    </xf>
    <xf numFmtId="166" fontId="0" fillId="0" borderId="10" xfId="1" applyNumberFormat="1" applyFont="1" applyBorder="1"/>
    <xf numFmtId="166" fontId="5" fillId="0" borderId="11" xfId="1" applyNumberFormat="1" applyFont="1" applyBorder="1"/>
    <xf numFmtId="0" fontId="6" fillId="0" borderId="0" xfId="0" applyFont="1"/>
    <xf numFmtId="0" fontId="0" fillId="0" borderId="0" xfId="0" applyAlignment="1">
      <alignment vertical="center" wrapText="1"/>
    </xf>
    <xf numFmtId="166" fontId="0" fillId="0" borderId="0" xfId="0" applyNumberFormat="1"/>
    <xf numFmtId="4" fontId="0" fillId="0" borderId="0" xfId="0" applyNumberFormat="1" applyAlignment="1">
      <alignment horizontal="center" vertical="center" wrapText="1"/>
    </xf>
    <xf numFmtId="167" fontId="0" fillId="0" borderId="0" xfId="3" applyNumberFormat="1" applyFont="1"/>
    <xf numFmtId="0" fontId="0" fillId="0" borderId="0" xfId="0" applyAlignment="1">
      <alignment horizontal="center"/>
    </xf>
    <xf numFmtId="0" fontId="5" fillId="0" borderId="0" xfId="0" applyFont="1"/>
    <xf numFmtId="167" fontId="0" fillId="0" borderId="0" xfId="3" applyNumberFormat="1" applyFont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right"/>
    </xf>
    <xf numFmtId="40" fontId="0" fillId="0" borderId="2" xfId="0" applyNumberFormat="1" applyBorder="1" applyAlignment="1">
      <alignment horizontal="center" vertical="center" wrapText="1"/>
    </xf>
    <xf numFmtId="0" fontId="5" fillId="0" borderId="12" xfId="0" applyFont="1" applyBorder="1" applyAlignment="1">
      <alignment horizontal="right"/>
    </xf>
    <xf numFmtId="0" fontId="5" fillId="0" borderId="12" xfId="0" applyFont="1" applyBorder="1"/>
    <xf numFmtId="167" fontId="5" fillId="0" borderId="12" xfId="0" applyNumberFormat="1" applyFont="1" applyBorder="1"/>
    <xf numFmtId="10" fontId="0" fillId="0" borderId="0" xfId="2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3" xfId="0" applyBorder="1"/>
    <xf numFmtId="167" fontId="0" fillId="0" borderId="13" xfId="0" applyNumberFormat="1" applyBorder="1"/>
    <xf numFmtId="0" fontId="0" fillId="0" borderId="14" xfId="0" applyBorder="1"/>
    <xf numFmtId="0" fontId="0" fillId="0" borderId="15" xfId="0" applyBorder="1"/>
    <xf numFmtId="166" fontId="0" fillId="0" borderId="15" xfId="0" applyNumberFormat="1" applyBorder="1"/>
    <xf numFmtId="0" fontId="0" fillId="0" borderId="16" xfId="0" applyBorder="1"/>
    <xf numFmtId="0" fontId="0" fillId="0" borderId="2" xfId="0" applyBorder="1"/>
    <xf numFmtId="166" fontId="0" fillId="0" borderId="2" xfId="0" applyNumberFormat="1" applyBorder="1"/>
    <xf numFmtId="167" fontId="0" fillId="0" borderId="0" xfId="3" applyNumberFormat="1" applyFont="1" applyBorder="1"/>
    <xf numFmtId="0" fontId="0" fillId="0" borderId="17" xfId="0" applyBorder="1"/>
    <xf numFmtId="0" fontId="0" fillId="0" borderId="18" xfId="0" applyBorder="1"/>
    <xf numFmtId="0" fontId="5" fillId="0" borderId="19" xfId="0" applyFont="1" applyBorder="1"/>
    <xf numFmtId="0" fontId="5" fillId="0" borderId="20" xfId="0" applyFont="1" applyBorder="1"/>
    <xf numFmtId="0" fontId="0" fillId="0" borderId="5" xfId="0" applyBorder="1"/>
    <xf numFmtId="14" fontId="0" fillId="2" borderId="0" xfId="0" applyNumberFormat="1" applyFill="1" applyAlignment="1">
      <alignment horizontal="center"/>
    </xf>
    <xf numFmtId="14" fontId="0" fillId="2" borderId="0" xfId="0" applyNumberFormat="1" applyFill="1"/>
    <xf numFmtId="14" fontId="0" fillId="3" borderId="0" xfId="0" applyNumberFormat="1" applyFill="1"/>
    <xf numFmtId="14" fontId="0" fillId="3" borderId="0" xfId="0" applyNumberFormat="1" applyFill="1" applyAlignment="1">
      <alignment horizontal="center"/>
    </xf>
    <xf numFmtId="0" fontId="0" fillId="3" borderId="0" xfId="0" applyFill="1"/>
    <xf numFmtId="0" fontId="0" fillId="2" borderId="0" xfId="0" applyFill="1"/>
    <xf numFmtId="167" fontId="0" fillId="2" borderId="0" xfId="3" applyNumberFormat="1" applyFont="1" applyFill="1"/>
    <xf numFmtId="167" fontId="0" fillId="3" borderId="0" xfId="3" applyNumberFormat="1" applyFont="1" applyFill="1"/>
    <xf numFmtId="9" fontId="8" fillId="0" borderId="21" xfId="2" applyFont="1" applyBorder="1" applyAlignment="1">
      <alignment horizontal="center"/>
    </xf>
    <xf numFmtId="167" fontId="5" fillId="0" borderId="22" xfId="0" applyNumberFormat="1" applyFont="1" applyBorder="1"/>
    <xf numFmtId="14" fontId="0" fillId="0" borderId="1" xfId="0" applyNumberFormat="1" applyBorder="1" applyAlignment="1">
      <alignment horizontal="right"/>
    </xf>
    <xf numFmtId="168" fontId="0" fillId="0" borderId="0" xfId="2" applyNumberFormat="1" applyFont="1" applyBorder="1" applyAlignment="1">
      <alignment horizontal="center"/>
    </xf>
    <xf numFmtId="0" fontId="0" fillId="4" borderId="0" xfId="0" applyFill="1" applyAlignment="1">
      <alignment horizontal="right"/>
    </xf>
    <xf numFmtId="14" fontId="0" fillId="4" borderId="1" xfId="0" applyNumberFormat="1" applyFill="1" applyBorder="1"/>
    <xf numFmtId="14" fontId="0" fillId="4" borderId="0" xfId="0" applyNumberFormat="1" applyFill="1"/>
    <xf numFmtId="166" fontId="0" fillId="4" borderId="0" xfId="1" applyNumberFormat="1" applyFont="1" applyFill="1" applyBorder="1"/>
    <xf numFmtId="10" fontId="0" fillId="4" borderId="0" xfId="2" applyNumberFormat="1" applyFont="1" applyFill="1" applyBorder="1" applyAlignment="1">
      <alignment horizontal="center"/>
    </xf>
    <xf numFmtId="166" fontId="0" fillId="4" borderId="2" xfId="1" applyNumberFormat="1" applyFont="1" applyFill="1" applyBorder="1"/>
    <xf numFmtId="0" fontId="0" fillId="4" borderId="0" xfId="0" applyFill="1"/>
    <xf numFmtId="0" fontId="0" fillId="4" borderId="0" xfId="0" applyFill="1" applyAlignment="1">
      <alignment horizontal="center"/>
    </xf>
    <xf numFmtId="167" fontId="0" fillId="4" borderId="0" xfId="3" applyNumberFormat="1" applyFont="1" applyFill="1" applyAlignment="1">
      <alignment horizontal="center"/>
    </xf>
    <xf numFmtId="14" fontId="0" fillId="4" borderId="0" xfId="0" applyNumberFormat="1" applyFill="1" applyAlignment="1">
      <alignment horizontal="center"/>
    </xf>
    <xf numFmtId="10" fontId="0" fillId="0" borderId="0" xfId="0" applyNumberFormat="1"/>
    <xf numFmtId="166" fontId="0" fillId="0" borderId="0" xfId="1" applyNumberFormat="1" applyFont="1" applyFill="1" applyBorder="1"/>
    <xf numFmtId="10" fontId="0" fillId="0" borderId="0" xfId="2" applyNumberFormat="1" applyFont="1" applyFill="1" applyBorder="1" applyAlignment="1">
      <alignment horizontal="center"/>
    </xf>
    <xf numFmtId="166" fontId="0" fillId="0" borderId="2" xfId="1" applyNumberFormat="1" applyFont="1" applyFill="1" applyBorder="1"/>
    <xf numFmtId="167" fontId="0" fillId="0" borderId="0" xfId="3" applyNumberFormat="1" applyFont="1" applyFill="1" applyAlignment="1">
      <alignment horizontal="center"/>
    </xf>
    <xf numFmtId="9" fontId="0" fillId="0" borderId="0" xfId="2" applyFont="1"/>
    <xf numFmtId="0" fontId="0" fillId="5" borderId="0" xfId="0" applyFill="1" applyAlignment="1">
      <alignment horizontal="right"/>
    </xf>
    <xf numFmtId="14" fontId="0" fillId="5" borderId="1" xfId="0" applyNumberFormat="1" applyFill="1" applyBorder="1"/>
    <xf numFmtId="14" fontId="0" fillId="5" borderId="0" xfId="0" applyNumberFormat="1" applyFill="1"/>
    <xf numFmtId="166" fontId="0" fillId="5" borderId="0" xfId="1" applyNumberFormat="1" applyFont="1" applyFill="1" applyBorder="1"/>
    <xf numFmtId="10" fontId="0" fillId="5" borderId="0" xfId="2" applyNumberFormat="1" applyFont="1" applyFill="1" applyBorder="1" applyAlignment="1">
      <alignment horizontal="center"/>
    </xf>
    <xf numFmtId="166" fontId="0" fillId="5" borderId="2" xfId="1" applyNumberFormat="1" applyFont="1" applyFill="1" applyBorder="1"/>
    <xf numFmtId="0" fontId="0" fillId="5" borderId="0" xfId="0" applyFill="1"/>
    <xf numFmtId="0" fontId="0" fillId="5" borderId="0" xfId="0" applyFill="1" applyAlignment="1">
      <alignment horizontal="center"/>
    </xf>
    <xf numFmtId="167" fontId="0" fillId="5" borderId="0" xfId="3" applyNumberFormat="1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10" fontId="0" fillId="5" borderId="0" xfId="2" applyNumberFormat="1" applyFont="1" applyFill="1" applyBorder="1" applyAlignment="1"/>
    <xf numFmtId="168" fontId="0" fillId="0" borderId="0" xfId="0" applyNumberFormat="1"/>
    <xf numFmtId="168" fontId="0" fillId="5" borderId="0" xfId="2" applyNumberFormat="1" applyFont="1" applyFill="1" applyBorder="1" applyAlignment="1">
      <alignment horizontal="center"/>
    </xf>
    <xf numFmtId="0" fontId="0" fillId="0" borderId="2" xfId="0" quotePrefix="1" applyBorder="1"/>
    <xf numFmtId="168" fontId="0" fillId="0" borderId="0" xfId="2" applyNumberFormat="1" applyFont="1" applyFill="1" applyBorder="1" applyAlignment="1">
      <alignment horizontal="center"/>
    </xf>
    <xf numFmtId="10" fontId="0" fillId="0" borderId="0" xfId="2" applyNumberFormat="1" applyFont="1" applyFill="1" applyBorder="1" applyAlignment="1"/>
    <xf numFmtId="167" fontId="0" fillId="0" borderId="0" xfId="3" applyNumberFormat="1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Alignment="1">
      <alignment wrapText="1"/>
    </xf>
    <xf numFmtId="168" fontId="0" fillId="0" borderId="0" xfId="2" applyNumberFormat="1" applyFont="1"/>
    <xf numFmtId="169" fontId="0" fillId="0" borderId="0" xfId="2" applyNumberFormat="1" applyFont="1"/>
    <xf numFmtId="168" fontId="0" fillId="0" borderId="0" xfId="2" applyNumberFormat="1" applyFont="1" applyFill="1"/>
    <xf numFmtId="0" fontId="0" fillId="5" borderId="23" xfId="0" applyFill="1" applyBorder="1" applyAlignment="1">
      <alignment horizontal="right"/>
    </xf>
    <xf numFmtId="10" fontId="0" fillId="0" borderId="0" xfId="0" applyNumberFormat="1" applyAlignment="1">
      <alignment horizontal="center"/>
    </xf>
    <xf numFmtId="167" fontId="0" fillId="0" borderId="0" xfId="0" applyNumberFormat="1"/>
    <xf numFmtId="0" fontId="12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14" fillId="6" borderId="0" xfId="0" applyFont="1" applyFill="1" applyAlignment="1">
      <alignment horizontal="right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9" fontId="13" fillId="0" borderId="0" xfId="0" applyNumberFormat="1" applyFont="1" applyAlignment="1">
      <alignment horizontal="center" vertical="center"/>
    </xf>
    <xf numFmtId="0" fontId="15" fillId="0" borderId="0" xfId="0" applyFont="1" applyAlignment="1">
      <alignment vertical="center"/>
    </xf>
    <xf numFmtId="167" fontId="0" fillId="0" borderId="0" xfId="3" applyNumberFormat="1" applyFont="1" applyBorder="1" applyAlignment="1">
      <alignment vertical="center"/>
    </xf>
    <xf numFmtId="0" fontId="0" fillId="0" borderId="0" xfId="0" applyAlignment="1">
      <alignment horizontal="right" vertical="center"/>
    </xf>
    <xf numFmtId="0" fontId="4" fillId="0" borderId="0" xfId="4"/>
    <xf numFmtId="0" fontId="5" fillId="0" borderId="0" xfId="4" applyFont="1"/>
    <xf numFmtId="0" fontId="4" fillId="0" borderId="1" xfId="4" applyBorder="1" applyAlignment="1">
      <alignment horizontal="center" vertical="center" wrapText="1"/>
    </xf>
    <xf numFmtId="4" fontId="4" fillId="0" borderId="0" xfId="4" applyNumberFormat="1" applyAlignment="1">
      <alignment horizontal="center" vertical="center" wrapText="1"/>
    </xf>
    <xf numFmtId="4" fontId="4" fillId="0" borderId="0" xfId="4" applyNumberFormat="1" applyAlignment="1">
      <alignment vertical="center" wrapText="1"/>
    </xf>
    <xf numFmtId="40" fontId="4" fillId="0" borderId="2" xfId="4" applyNumberFormat="1" applyBorder="1" applyAlignment="1">
      <alignment horizontal="center" vertical="center" wrapText="1"/>
    </xf>
    <xf numFmtId="0" fontId="4" fillId="0" borderId="0" xfId="4" applyAlignment="1">
      <alignment horizontal="right"/>
    </xf>
    <xf numFmtId="14" fontId="4" fillId="0" borderId="1" xfId="4" applyNumberFormat="1" applyBorder="1"/>
    <xf numFmtId="14" fontId="4" fillId="0" borderId="0" xfId="4" applyNumberFormat="1"/>
    <xf numFmtId="166" fontId="0" fillId="0" borderId="0" xfId="5" applyNumberFormat="1" applyFont="1" applyBorder="1"/>
    <xf numFmtId="10" fontId="0" fillId="0" borderId="0" xfId="6" applyNumberFormat="1" applyFont="1" applyBorder="1" applyAlignment="1">
      <alignment horizontal="center"/>
    </xf>
    <xf numFmtId="166" fontId="0" fillId="0" borderId="2" xfId="5" applyNumberFormat="1" applyFont="1" applyBorder="1"/>
    <xf numFmtId="0" fontId="4" fillId="0" borderId="0" xfId="4" applyAlignment="1">
      <alignment horizontal="center"/>
    </xf>
    <xf numFmtId="167" fontId="0" fillId="0" borderId="0" xfId="7" applyNumberFormat="1" applyFont="1" applyAlignment="1">
      <alignment horizontal="center"/>
    </xf>
    <xf numFmtId="14" fontId="4" fillId="0" borderId="0" xfId="4" applyNumberFormat="1" applyAlignment="1">
      <alignment horizontal="center"/>
    </xf>
    <xf numFmtId="166" fontId="0" fillId="0" borderId="0" xfId="5" applyNumberFormat="1" applyFont="1" applyFill="1" applyBorder="1"/>
    <xf numFmtId="10" fontId="0" fillId="0" borderId="0" xfId="6" applyNumberFormat="1" applyFont="1" applyFill="1" applyBorder="1" applyAlignment="1">
      <alignment horizontal="center"/>
    </xf>
    <xf numFmtId="166" fontId="0" fillId="0" borderId="2" xfId="5" applyNumberFormat="1" applyFont="1" applyFill="1" applyBorder="1"/>
    <xf numFmtId="167" fontId="0" fillId="0" borderId="0" xfId="7" applyNumberFormat="1" applyFont="1" applyFill="1" applyAlignment="1">
      <alignment horizontal="center"/>
    </xf>
    <xf numFmtId="167" fontId="16" fillId="0" borderId="0" xfId="7" applyNumberFormat="1" applyFont="1" applyAlignment="1">
      <alignment horizontal="center"/>
    </xf>
    <xf numFmtId="0" fontId="4" fillId="0" borderId="14" xfId="4" applyBorder="1"/>
    <xf numFmtId="0" fontId="4" fillId="0" borderId="15" xfId="4" applyBorder="1"/>
    <xf numFmtId="166" fontId="4" fillId="0" borderId="15" xfId="4" applyNumberFormat="1" applyBorder="1"/>
    <xf numFmtId="0" fontId="4" fillId="0" borderId="16" xfId="4" applyBorder="1"/>
    <xf numFmtId="0" fontId="4" fillId="0" borderId="1" xfId="4" applyBorder="1"/>
    <xf numFmtId="166" fontId="4" fillId="0" borderId="0" xfId="4" applyNumberFormat="1"/>
    <xf numFmtId="9" fontId="8" fillId="0" borderId="21" xfId="6" applyFont="1" applyBorder="1" applyAlignment="1">
      <alignment horizontal="center"/>
    </xf>
    <xf numFmtId="0" fontId="4" fillId="0" borderId="2" xfId="4" applyBorder="1"/>
    <xf numFmtId="0" fontId="4" fillId="0" borderId="0" xfId="4" applyAlignment="1">
      <alignment horizontal="right" vertical="center"/>
    </xf>
    <xf numFmtId="167" fontId="0" fillId="0" borderId="0" xfId="7" applyNumberFormat="1" applyFont="1" applyBorder="1" applyAlignment="1">
      <alignment vertical="center"/>
    </xf>
    <xf numFmtId="167" fontId="0" fillId="0" borderId="0" xfId="7" applyNumberFormat="1" applyFont="1" applyBorder="1"/>
    <xf numFmtId="10" fontId="4" fillId="0" borderId="0" xfId="4" applyNumberFormat="1"/>
    <xf numFmtId="0" fontId="4" fillId="0" borderId="17" xfId="4" applyBorder="1"/>
    <xf numFmtId="0" fontId="4" fillId="0" borderId="13" xfId="4" applyBorder="1"/>
    <xf numFmtId="167" fontId="4" fillId="0" borderId="13" xfId="4" applyNumberFormat="1" applyBorder="1"/>
    <xf numFmtId="0" fontId="4" fillId="0" borderId="18" xfId="4" applyBorder="1"/>
    <xf numFmtId="0" fontId="5" fillId="0" borderId="12" xfId="4" applyFont="1" applyBorder="1" applyAlignment="1">
      <alignment horizontal="right"/>
    </xf>
    <xf numFmtId="0" fontId="5" fillId="0" borderId="19" xfId="4" applyFont="1" applyBorder="1"/>
    <xf numFmtId="0" fontId="5" fillId="0" borderId="12" xfId="4" applyFont="1" applyBorder="1"/>
    <xf numFmtId="167" fontId="5" fillId="0" borderId="12" xfId="4" applyNumberFormat="1" applyFont="1" applyBorder="1"/>
    <xf numFmtId="167" fontId="5" fillId="0" borderId="22" xfId="4" applyNumberFormat="1" applyFont="1" applyBorder="1"/>
    <xf numFmtId="0" fontId="5" fillId="0" borderId="20" xfId="4" applyFont="1" applyBorder="1"/>
    <xf numFmtId="0" fontId="4" fillId="0" borderId="3" xfId="4" applyBorder="1"/>
    <xf numFmtId="0" fontId="4" fillId="0" borderId="4" xfId="4" applyBorder="1"/>
    <xf numFmtId="0" fontId="4" fillId="0" borderId="5" xfId="4" applyBorder="1"/>
    <xf numFmtId="167" fontId="0" fillId="0" borderId="0" xfId="7" applyNumberFormat="1" applyFont="1" applyFill="1"/>
    <xf numFmtId="9" fontId="0" fillId="0" borderId="0" xfId="8" applyFont="1"/>
    <xf numFmtId="167" fontId="4" fillId="0" borderId="0" xfId="4" applyNumberFormat="1"/>
    <xf numFmtId="167" fontId="0" fillId="0" borderId="0" xfId="7" applyNumberFormat="1" applyFont="1"/>
    <xf numFmtId="9" fontId="0" fillId="0" borderId="0" xfId="6" applyFont="1"/>
    <xf numFmtId="0" fontId="3" fillId="0" borderId="0" xfId="4" applyFont="1"/>
    <xf numFmtId="0" fontId="17" fillId="0" borderId="0" xfId="4" applyFont="1"/>
    <xf numFmtId="0" fontId="3" fillId="0" borderId="1" xfId="4" applyFont="1" applyBorder="1" applyAlignment="1">
      <alignment horizontal="center" vertical="center" wrapText="1"/>
    </xf>
    <xf numFmtId="4" fontId="3" fillId="0" borderId="0" xfId="4" applyNumberFormat="1" applyFont="1" applyAlignment="1">
      <alignment horizontal="center" vertical="center" wrapText="1"/>
    </xf>
    <xf numFmtId="4" fontId="3" fillId="0" borderId="0" xfId="4" applyNumberFormat="1" applyFont="1" applyAlignment="1">
      <alignment vertical="center" wrapText="1"/>
    </xf>
    <xf numFmtId="40" fontId="3" fillId="0" borderId="2" xfId="4" applyNumberFormat="1" applyFont="1" applyBorder="1" applyAlignment="1">
      <alignment horizontal="center" vertical="center" wrapText="1"/>
    </xf>
    <xf numFmtId="0" fontId="3" fillId="0" borderId="0" xfId="4" applyFont="1" applyAlignment="1">
      <alignment horizontal="right"/>
    </xf>
    <xf numFmtId="14" fontId="3" fillId="0" borderId="1" xfId="4" applyNumberFormat="1" applyFont="1" applyBorder="1"/>
    <xf numFmtId="14" fontId="3" fillId="0" borderId="0" xfId="4" applyNumberFormat="1" applyFont="1"/>
    <xf numFmtId="166" fontId="16" fillId="0" borderId="0" xfId="5" applyNumberFormat="1" applyFont="1" applyBorder="1"/>
    <xf numFmtId="10" fontId="16" fillId="0" borderId="0" xfId="6" applyNumberFormat="1" applyFont="1" applyBorder="1" applyAlignment="1">
      <alignment horizontal="center"/>
    </xf>
    <xf numFmtId="166" fontId="16" fillId="0" borderId="2" xfId="5" applyNumberFormat="1" applyFont="1" applyBorder="1"/>
    <xf numFmtId="0" fontId="3" fillId="0" borderId="0" xfId="4" applyFont="1" applyAlignment="1">
      <alignment horizontal="center"/>
    </xf>
    <xf numFmtId="14" fontId="3" fillId="0" borderId="0" xfId="4" applyNumberFormat="1" applyFont="1" applyAlignment="1">
      <alignment horizontal="center"/>
    </xf>
    <xf numFmtId="166" fontId="16" fillId="0" borderId="0" xfId="5" applyNumberFormat="1" applyFont="1" applyFill="1" applyBorder="1"/>
    <xf numFmtId="10" fontId="16" fillId="0" borderId="0" xfId="6" applyNumberFormat="1" applyFont="1" applyFill="1" applyBorder="1" applyAlignment="1">
      <alignment horizontal="center"/>
    </xf>
    <xf numFmtId="166" fontId="16" fillId="0" borderId="2" xfId="5" applyNumberFormat="1" applyFont="1" applyFill="1" applyBorder="1"/>
    <xf numFmtId="167" fontId="16" fillId="0" borderId="0" xfId="7" applyNumberFormat="1" applyFont="1" applyFill="1" applyAlignment="1">
      <alignment horizontal="center"/>
    </xf>
    <xf numFmtId="0" fontId="3" fillId="0" borderId="14" xfId="4" applyFont="1" applyBorder="1"/>
    <xf numFmtId="0" fontId="3" fillId="0" borderId="15" xfId="4" applyFont="1" applyBorder="1"/>
    <xf numFmtId="166" fontId="3" fillId="0" borderId="15" xfId="4" applyNumberFormat="1" applyFont="1" applyBorder="1"/>
    <xf numFmtId="166" fontId="17" fillId="0" borderId="15" xfId="4" applyNumberFormat="1" applyFont="1" applyBorder="1"/>
    <xf numFmtId="0" fontId="3" fillId="0" borderId="1" xfId="4" applyFont="1" applyBorder="1"/>
    <xf numFmtId="166" fontId="3" fillId="0" borderId="0" xfId="4" applyNumberFormat="1" applyFont="1"/>
    <xf numFmtId="9" fontId="18" fillId="0" borderId="21" xfId="6" applyFont="1" applyBorder="1" applyAlignment="1">
      <alignment horizontal="center"/>
    </xf>
    <xf numFmtId="0" fontId="3" fillId="0" borderId="2" xfId="4" applyFont="1" applyBorder="1"/>
    <xf numFmtId="0" fontId="3" fillId="0" borderId="0" xfId="4" applyFont="1" applyAlignment="1">
      <alignment horizontal="right" vertical="center"/>
    </xf>
    <xf numFmtId="167" fontId="16" fillId="0" borderId="0" xfId="7" applyNumberFormat="1" applyFont="1" applyBorder="1" applyAlignment="1">
      <alignment vertical="center"/>
    </xf>
    <xf numFmtId="167" fontId="16" fillId="0" borderId="0" xfId="7" applyNumberFormat="1" applyFont="1" applyBorder="1"/>
    <xf numFmtId="10" fontId="3" fillId="0" borderId="0" xfId="4" applyNumberFormat="1" applyFont="1"/>
    <xf numFmtId="0" fontId="3" fillId="0" borderId="17" xfId="4" applyFont="1" applyBorder="1"/>
    <xf numFmtId="0" fontId="3" fillId="0" borderId="13" xfId="4" applyFont="1" applyBorder="1"/>
    <xf numFmtId="167" fontId="3" fillId="0" borderId="13" xfId="4" applyNumberFormat="1" applyFont="1" applyBorder="1"/>
    <xf numFmtId="0" fontId="3" fillId="0" borderId="18" xfId="4" applyFont="1" applyBorder="1"/>
    <xf numFmtId="0" fontId="17" fillId="0" borderId="12" xfId="4" applyFont="1" applyBorder="1" applyAlignment="1">
      <alignment horizontal="right"/>
    </xf>
    <xf numFmtId="0" fontId="17" fillId="0" borderId="19" xfId="4" applyFont="1" applyBorder="1"/>
    <xf numFmtId="0" fontId="17" fillId="0" borderId="12" xfId="4" applyFont="1" applyBorder="1"/>
    <xf numFmtId="167" fontId="3" fillId="0" borderId="12" xfId="4" applyNumberFormat="1" applyFont="1" applyBorder="1"/>
    <xf numFmtId="167" fontId="17" fillId="0" borderId="22" xfId="4" applyNumberFormat="1" applyFont="1" applyBorder="1"/>
    <xf numFmtId="0" fontId="17" fillId="0" borderId="20" xfId="4" applyFont="1" applyBorder="1"/>
    <xf numFmtId="0" fontId="3" fillId="0" borderId="3" xfId="4" applyFont="1" applyBorder="1"/>
    <xf numFmtId="0" fontId="3" fillId="0" borderId="4" xfId="4" applyFont="1" applyBorder="1"/>
    <xf numFmtId="0" fontId="3" fillId="0" borderId="5" xfId="4" applyFont="1" applyBorder="1"/>
    <xf numFmtId="167" fontId="16" fillId="0" borderId="0" xfId="7" applyNumberFormat="1" applyFont="1" applyFill="1"/>
    <xf numFmtId="9" fontId="16" fillId="0" borderId="0" xfId="8" applyFont="1"/>
    <xf numFmtId="167" fontId="3" fillId="0" borderId="0" xfId="4" applyNumberFormat="1" applyFont="1"/>
    <xf numFmtId="167" fontId="16" fillId="0" borderId="0" xfId="7" applyNumberFormat="1" applyFont="1"/>
    <xf numFmtId="9" fontId="16" fillId="0" borderId="0" xfId="6" applyFont="1"/>
    <xf numFmtId="0" fontId="2" fillId="0" borderId="0" xfId="4" applyFont="1"/>
    <xf numFmtId="0" fontId="2" fillId="0" borderId="1" xfId="4" applyFont="1" applyBorder="1" applyAlignment="1">
      <alignment horizontal="center" vertical="center" wrapText="1"/>
    </xf>
    <xf numFmtId="4" fontId="2" fillId="0" borderId="0" xfId="4" applyNumberFormat="1" applyFont="1" applyAlignment="1">
      <alignment horizontal="center" vertical="center" wrapText="1"/>
    </xf>
    <xf numFmtId="4" fontId="2" fillId="0" borderId="0" xfId="4" applyNumberFormat="1" applyFont="1" applyAlignment="1">
      <alignment vertical="center" wrapText="1"/>
    </xf>
    <xf numFmtId="40" fontId="2" fillId="0" borderId="2" xfId="4" applyNumberFormat="1" applyFont="1" applyBorder="1" applyAlignment="1">
      <alignment horizontal="center" vertical="center" wrapText="1"/>
    </xf>
    <xf numFmtId="0" fontId="2" fillId="0" borderId="0" xfId="4" applyFont="1" applyAlignment="1">
      <alignment horizontal="right"/>
    </xf>
    <xf numFmtId="14" fontId="2" fillId="0" borderId="1" xfId="4" applyNumberFormat="1" applyFont="1" applyBorder="1"/>
    <xf numFmtId="14" fontId="2" fillId="0" borderId="0" xfId="4" applyNumberFormat="1" applyFont="1"/>
    <xf numFmtId="0" fontId="2" fillId="0" borderId="0" xfId="4" applyFont="1" applyAlignment="1">
      <alignment horizontal="center"/>
    </xf>
    <xf numFmtId="14" fontId="2" fillId="0" borderId="0" xfId="4" applyNumberFormat="1" applyFont="1" applyAlignment="1">
      <alignment horizontal="center"/>
    </xf>
    <xf numFmtId="14" fontId="2" fillId="0" borderId="4" xfId="4" applyNumberFormat="1" applyFont="1" applyBorder="1"/>
    <xf numFmtId="0" fontId="2" fillId="0" borderId="14" xfId="4" applyFont="1" applyBorder="1"/>
    <xf numFmtId="0" fontId="2" fillId="0" borderId="15" xfId="4" applyFont="1" applyBorder="1"/>
    <xf numFmtId="166" fontId="2" fillId="0" borderId="15" xfId="4" applyNumberFormat="1" applyFont="1" applyBorder="1"/>
    <xf numFmtId="166" fontId="2" fillId="0" borderId="16" xfId="4" applyNumberFormat="1" applyFont="1" applyBorder="1"/>
    <xf numFmtId="0" fontId="2" fillId="0" borderId="1" xfId="4" applyFont="1" applyBorder="1"/>
    <xf numFmtId="166" fontId="2" fillId="0" borderId="0" xfId="4" applyNumberFormat="1" applyFont="1"/>
    <xf numFmtId="0" fontId="2" fillId="0" borderId="2" xfId="4" applyFont="1" applyBorder="1"/>
    <xf numFmtId="0" fontId="2" fillId="0" borderId="0" xfId="4" applyFont="1" applyAlignment="1">
      <alignment horizontal="right" vertical="center"/>
    </xf>
    <xf numFmtId="10" fontId="2" fillId="0" borderId="0" xfId="4" applyNumberFormat="1" applyFont="1"/>
    <xf numFmtId="0" fontId="2" fillId="0" borderId="17" xfId="4" applyFont="1" applyBorder="1"/>
    <xf numFmtId="0" fontId="2" fillId="0" borderId="13" xfId="4" applyFont="1" applyBorder="1"/>
    <xf numFmtId="167" fontId="2" fillId="0" borderId="13" xfId="4" applyNumberFormat="1" applyFont="1" applyBorder="1"/>
    <xf numFmtId="0" fontId="2" fillId="0" borderId="18" xfId="4" applyFont="1" applyBorder="1"/>
    <xf numFmtId="167" fontId="2" fillId="0" borderId="12" xfId="4" applyNumberFormat="1" applyFont="1" applyBorder="1"/>
    <xf numFmtId="0" fontId="2" fillId="0" borderId="3" xfId="4" applyFont="1" applyBorder="1"/>
    <xf numFmtId="0" fontId="2" fillId="0" borderId="4" xfId="4" applyFont="1" applyBorder="1"/>
    <xf numFmtId="0" fontId="2" fillId="0" borderId="5" xfId="4" applyFont="1" applyBorder="1"/>
    <xf numFmtId="167" fontId="2" fillId="0" borderId="0" xfId="4" applyNumberFormat="1" applyFont="1"/>
    <xf numFmtId="0" fontId="1" fillId="0" borderId="0" xfId="4" applyFont="1"/>
    <xf numFmtId="4" fontId="1" fillId="0" borderId="0" xfId="4" applyNumberFormat="1" applyFont="1" applyAlignment="1">
      <alignment horizontal="center" vertical="center" wrapText="1"/>
    </xf>
    <xf numFmtId="0" fontId="1" fillId="0" borderId="0" xfId="4" applyFont="1" applyAlignment="1">
      <alignment horizontal="center"/>
    </xf>
    <xf numFmtId="14" fontId="1" fillId="0" borderId="0" xfId="4" applyNumberFormat="1" applyFont="1" applyAlignment="1">
      <alignment horizontal="center"/>
    </xf>
    <xf numFmtId="15" fontId="17" fillId="0" borderId="6" xfId="4" applyNumberFormat="1" applyFont="1" applyBorder="1" applyAlignment="1">
      <alignment horizontal="center"/>
    </xf>
    <xf numFmtId="15" fontId="17" fillId="0" borderId="7" xfId="4" applyNumberFormat="1" applyFont="1" applyBorder="1" applyAlignment="1">
      <alignment horizontal="center"/>
    </xf>
    <xf numFmtId="15" fontId="17" fillId="0" borderId="8" xfId="4" applyNumberFormat="1" applyFont="1" applyBorder="1" applyAlignment="1">
      <alignment horizontal="center"/>
    </xf>
    <xf numFmtId="0" fontId="2" fillId="0" borderId="0" xfId="4" applyFont="1" applyAlignment="1">
      <alignment horizontal="center" wrapText="1"/>
    </xf>
    <xf numFmtId="0" fontId="2" fillId="0" borderId="2" xfId="4" applyFont="1" applyBorder="1" applyAlignment="1">
      <alignment horizontal="center" wrapText="1"/>
    </xf>
    <xf numFmtId="0" fontId="3" fillId="0" borderId="0" xfId="4" applyFont="1" applyAlignment="1">
      <alignment horizontal="center" wrapText="1"/>
    </xf>
    <xf numFmtId="0" fontId="3" fillId="0" borderId="2" xfId="4" applyFont="1" applyBorder="1" applyAlignment="1">
      <alignment horizontal="center" wrapText="1"/>
    </xf>
    <xf numFmtId="15" fontId="5" fillId="0" borderId="6" xfId="4" applyNumberFormat="1" applyFont="1" applyBorder="1" applyAlignment="1">
      <alignment horizontal="center"/>
    </xf>
    <xf numFmtId="15" fontId="5" fillId="0" borderId="7" xfId="4" applyNumberFormat="1" applyFont="1" applyBorder="1" applyAlignment="1">
      <alignment horizontal="center"/>
    </xf>
    <xf numFmtId="15" fontId="5" fillId="0" borderId="8" xfId="4" applyNumberFormat="1" applyFont="1" applyBorder="1" applyAlignment="1">
      <alignment horizontal="center"/>
    </xf>
    <xf numFmtId="0" fontId="4" fillId="0" borderId="0" xfId="4" applyAlignment="1">
      <alignment horizontal="center" wrapText="1"/>
    </xf>
    <xf numFmtId="0" fontId="4" fillId="0" borderId="2" xfId="4" applyBorder="1" applyAlignment="1">
      <alignment horizontal="center" wrapText="1"/>
    </xf>
    <xf numFmtId="15" fontId="5" fillId="0" borderId="6" xfId="0" applyNumberFormat="1" applyFont="1" applyBorder="1" applyAlignment="1">
      <alignment horizontal="center"/>
    </xf>
    <xf numFmtId="15" fontId="5" fillId="0" borderId="7" xfId="0" applyNumberFormat="1" applyFont="1" applyBorder="1" applyAlignment="1">
      <alignment horizontal="center"/>
    </xf>
    <xf numFmtId="15" fontId="5" fillId="0" borderId="8" xfId="0" applyNumberFormat="1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 wrapText="1"/>
    </xf>
    <xf numFmtId="167" fontId="0" fillId="0" borderId="0" xfId="3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3" fillId="4" borderId="0" xfId="4" applyFont="1" applyFill="1" applyAlignment="1">
      <alignment horizontal="right"/>
    </xf>
    <xf numFmtId="14" fontId="3" fillId="4" borderId="1" xfId="4" applyNumberFormat="1" applyFont="1" applyFill="1" applyBorder="1"/>
    <xf numFmtId="14" fontId="3" fillId="4" borderId="0" xfId="4" applyNumberFormat="1" applyFont="1" applyFill="1"/>
    <xf numFmtId="166" fontId="16" fillId="4" borderId="0" xfId="5" applyNumberFormat="1" applyFont="1" applyFill="1" applyBorder="1"/>
    <xf numFmtId="10" fontId="16" fillId="4" borderId="0" xfId="6" applyNumberFormat="1" applyFont="1" applyFill="1" applyBorder="1" applyAlignment="1">
      <alignment horizontal="center"/>
    </xf>
    <xf numFmtId="166" fontId="16" fillId="4" borderId="2" xfId="5" applyNumberFormat="1" applyFont="1" applyFill="1" applyBorder="1"/>
    <xf numFmtId="166" fontId="16" fillId="7" borderId="2" xfId="5" applyNumberFormat="1" applyFont="1" applyFill="1" applyBorder="1"/>
    <xf numFmtId="0" fontId="1" fillId="7" borderId="0" xfId="4" applyFont="1" applyFill="1" applyAlignment="1">
      <alignment horizontal="center"/>
    </xf>
    <xf numFmtId="15" fontId="17" fillId="8" borderId="0" xfId="4" applyNumberFormat="1" applyFont="1" applyFill="1" applyBorder="1" applyAlignment="1">
      <alignment horizontal="center"/>
    </xf>
    <xf numFmtId="40" fontId="1" fillId="8" borderId="2" xfId="4" applyNumberFormat="1" applyFont="1" applyFill="1" applyBorder="1" applyAlignment="1">
      <alignment horizontal="center" vertical="center" wrapText="1"/>
    </xf>
    <xf numFmtId="166" fontId="16" fillId="8" borderId="2" xfId="5" applyNumberFormat="1" applyFont="1" applyFill="1" applyBorder="1"/>
    <xf numFmtId="166" fontId="17" fillId="8" borderId="15" xfId="4" applyNumberFormat="1" applyFont="1" applyFill="1" applyBorder="1"/>
    <xf numFmtId="0" fontId="3" fillId="8" borderId="2" xfId="4" applyFont="1" applyFill="1" applyBorder="1"/>
    <xf numFmtId="0" fontId="3" fillId="8" borderId="0" xfId="4" applyFont="1" applyFill="1" applyBorder="1" applyAlignment="1">
      <alignment horizontal="center" wrapText="1"/>
    </xf>
    <xf numFmtId="0" fontId="3" fillId="8" borderId="18" xfId="4" applyFont="1" applyFill="1" applyBorder="1"/>
    <xf numFmtId="0" fontId="17" fillId="8" borderId="20" xfId="4" applyFont="1" applyFill="1" applyBorder="1"/>
    <xf numFmtId="0" fontId="3" fillId="8" borderId="5" xfId="4" applyFont="1" applyFill="1" applyBorder="1"/>
    <xf numFmtId="0" fontId="1" fillId="0" borderId="0" xfId="4" applyFont="1" applyFill="1"/>
    <xf numFmtId="15" fontId="17" fillId="0" borderId="6" xfId="4" applyNumberFormat="1" applyFont="1" applyFill="1" applyBorder="1" applyAlignment="1">
      <alignment horizontal="center"/>
    </xf>
    <xf numFmtId="15" fontId="17" fillId="0" borderId="7" xfId="4" applyNumberFormat="1" applyFont="1" applyFill="1" applyBorder="1" applyAlignment="1">
      <alignment horizontal="center"/>
    </xf>
    <xf numFmtId="15" fontId="17" fillId="0" borderId="8" xfId="4" applyNumberFormat="1" applyFont="1" applyFill="1" applyBorder="1" applyAlignment="1">
      <alignment horizontal="center"/>
    </xf>
    <xf numFmtId="0" fontId="17" fillId="0" borderId="0" xfId="4" applyFont="1" applyFill="1"/>
    <xf numFmtId="0" fontId="1" fillId="0" borderId="1" xfId="4" applyFont="1" applyFill="1" applyBorder="1" applyAlignment="1">
      <alignment horizontal="center" vertical="center" wrapText="1"/>
    </xf>
    <xf numFmtId="4" fontId="1" fillId="0" borderId="0" xfId="4" applyNumberFormat="1" applyFont="1" applyFill="1" applyAlignment="1">
      <alignment horizontal="center" vertical="center" wrapText="1"/>
    </xf>
    <xf numFmtId="4" fontId="1" fillId="0" borderId="0" xfId="4" applyNumberFormat="1" applyFont="1" applyFill="1" applyAlignment="1">
      <alignment vertical="center" wrapText="1"/>
    </xf>
    <xf numFmtId="40" fontId="1" fillId="0" borderId="2" xfId="4" applyNumberFormat="1" applyFont="1" applyFill="1" applyBorder="1" applyAlignment="1">
      <alignment horizontal="center" vertical="center" wrapText="1"/>
    </xf>
    <xf numFmtId="0" fontId="1" fillId="0" borderId="0" xfId="4" applyFont="1" applyFill="1" applyAlignment="1">
      <alignment horizontal="right"/>
    </xf>
    <xf numFmtId="14" fontId="1" fillId="0" borderId="1" xfId="4" applyNumberFormat="1" applyFont="1" applyFill="1" applyBorder="1"/>
    <xf numFmtId="14" fontId="1" fillId="0" borderId="0" xfId="4" applyNumberFormat="1" applyFont="1" applyFill="1"/>
    <xf numFmtId="0" fontId="1" fillId="0" borderId="0" xfId="4" applyFont="1" applyFill="1" applyAlignment="1">
      <alignment horizontal="center"/>
    </xf>
    <xf numFmtId="14" fontId="1" fillId="0" borderId="4" xfId="4" applyNumberFormat="1" applyFont="1" applyFill="1" applyBorder="1"/>
    <xf numFmtId="0" fontId="1" fillId="0" borderId="14" xfId="4" applyFont="1" applyFill="1" applyBorder="1"/>
    <xf numFmtId="0" fontId="1" fillId="0" borderId="15" xfId="4" applyFont="1" applyFill="1" applyBorder="1"/>
    <xf numFmtId="166" fontId="1" fillId="0" borderId="15" xfId="4" applyNumberFormat="1" applyFont="1" applyFill="1" applyBorder="1"/>
    <xf numFmtId="166" fontId="17" fillId="0" borderId="15" xfId="4" applyNumberFormat="1" applyFont="1" applyFill="1" applyBorder="1"/>
    <xf numFmtId="166" fontId="17" fillId="0" borderId="16" xfId="4" applyNumberFormat="1" applyFont="1" applyFill="1" applyBorder="1"/>
    <xf numFmtId="0" fontId="1" fillId="0" borderId="1" xfId="4" applyFont="1" applyFill="1" applyBorder="1"/>
    <xf numFmtId="166" fontId="1" fillId="0" borderId="0" xfId="4" applyNumberFormat="1" applyFont="1" applyFill="1"/>
    <xf numFmtId="9" fontId="18" fillId="0" borderId="21" xfId="6" applyFont="1" applyFill="1" applyBorder="1" applyAlignment="1">
      <alignment horizontal="center"/>
    </xf>
    <xf numFmtId="0" fontId="1" fillId="0" borderId="2" xfId="4" applyFont="1" applyFill="1" applyBorder="1"/>
    <xf numFmtId="0" fontId="1" fillId="0" borderId="0" xfId="4" applyFont="1" applyFill="1" applyAlignment="1">
      <alignment horizontal="center" wrapText="1"/>
    </xf>
    <xf numFmtId="0" fontId="1" fillId="0" borderId="2" xfId="4" applyFont="1" applyFill="1" applyBorder="1" applyAlignment="1">
      <alignment horizontal="center" wrapText="1"/>
    </xf>
    <xf numFmtId="0" fontId="1" fillId="0" borderId="0" xfId="4" applyFont="1" applyFill="1" applyAlignment="1">
      <alignment horizontal="right" vertical="center"/>
    </xf>
    <xf numFmtId="167" fontId="16" fillId="0" borderId="0" xfId="7" applyNumberFormat="1" applyFont="1" applyFill="1" applyBorder="1" applyAlignment="1">
      <alignment vertical="center"/>
    </xf>
    <xf numFmtId="167" fontId="16" fillId="0" borderId="0" xfId="7" applyNumberFormat="1" applyFont="1" applyFill="1" applyBorder="1"/>
    <xf numFmtId="10" fontId="1" fillId="0" borderId="0" xfId="4" applyNumberFormat="1" applyFont="1" applyFill="1"/>
    <xf numFmtId="0" fontId="1" fillId="0" borderId="17" xfId="4" applyFont="1" applyFill="1" applyBorder="1"/>
    <xf numFmtId="0" fontId="1" fillId="0" borderId="13" xfId="4" applyFont="1" applyFill="1" applyBorder="1"/>
    <xf numFmtId="167" fontId="1" fillId="0" borderId="13" xfId="4" applyNumberFormat="1" applyFont="1" applyFill="1" applyBorder="1"/>
    <xf numFmtId="0" fontId="1" fillId="0" borderId="18" xfId="4" applyFont="1" applyFill="1" applyBorder="1"/>
    <xf numFmtId="0" fontId="17" fillId="0" borderId="12" xfId="4" applyFont="1" applyFill="1" applyBorder="1" applyAlignment="1">
      <alignment horizontal="right"/>
    </xf>
    <xf numFmtId="0" fontId="17" fillId="0" borderId="19" xfId="4" applyFont="1" applyFill="1" applyBorder="1"/>
    <xf numFmtId="0" fontId="17" fillId="0" borderId="12" xfId="4" applyFont="1" applyFill="1" applyBorder="1"/>
    <xf numFmtId="167" fontId="1" fillId="0" borderId="12" xfId="4" applyNumberFormat="1" applyFont="1" applyFill="1" applyBorder="1"/>
    <xf numFmtId="167" fontId="17" fillId="0" borderId="22" xfId="4" applyNumberFormat="1" applyFont="1" applyFill="1" applyBorder="1"/>
    <xf numFmtId="0" fontId="17" fillId="0" borderId="20" xfId="4" applyFont="1" applyFill="1" applyBorder="1"/>
    <xf numFmtId="0" fontId="1" fillId="0" borderId="3" xfId="4" applyFont="1" applyFill="1" applyBorder="1"/>
    <xf numFmtId="0" fontId="1" fillId="0" borderId="4" xfId="4" applyFont="1" applyFill="1" applyBorder="1"/>
    <xf numFmtId="0" fontId="1" fillId="0" borderId="5" xfId="4" applyFont="1" applyFill="1" applyBorder="1"/>
    <xf numFmtId="9" fontId="16" fillId="0" borderId="0" xfId="8" applyFont="1" applyFill="1"/>
    <xf numFmtId="167" fontId="1" fillId="0" borderId="0" xfId="4" applyNumberFormat="1" applyFont="1" applyFill="1"/>
    <xf numFmtId="9" fontId="16" fillId="0" borderId="0" xfId="6" applyFont="1" applyFill="1"/>
    <xf numFmtId="0" fontId="1" fillId="7" borderId="0" xfId="4" applyFont="1" applyFill="1"/>
  </cellXfs>
  <cellStyles count="9">
    <cellStyle name="Milliers" xfId="3" builtinId="3"/>
    <cellStyle name="Milliers 2" xfId="7" xr:uid="{84066797-3387-489D-97A6-F9904198F29B}"/>
    <cellStyle name="Monétaire" xfId="1" builtinId="4"/>
    <cellStyle name="Monétaire 2" xfId="5" xr:uid="{2E4FCE8E-7F28-4A98-BC4D-E917087E5B47}"/>
    <cellStyle name="Normal" xfId="0" builtinId="0"/>
    <cellStyle name="Normal 3" xfId="4" xr:uid="{1F5E82D7-2FF9-4DC4-A9EB-8005233D5041}"/>
    <cellStyle name="Pourcentage" xfId="2" builtinId="5"/>
    <cellStyle name="Pourcentage 2" xfId="6" xr:uid="{8CB73BD0-B6C7-409D-9552-206D1A57FAEF}"/>
    <cellStyle name="Pourcentage 3" xfId="8" xr:uid="{FDC24A15-873F-44A6-AF7B-F970A23293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s\Comptabilit&#233;\Consolidation\2019\12%20d&#233;cembre%202019\JVM%20Swap\MTM%20Report%20-%20Groupe%20Sant&#233;%20Sedna%20Inc%20-%2012-31-2019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s\Financement%20externe\Juste%20Valeur%20(MTM%20Reports)\2020\2%20-%20Juin\MTM%20Report%20-%20Immeuble%20Champlain%20Patriotes%20Inc.%20-%2006-30-2020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s\Financement%20externe\Juste%20Valeur%20(MTM%20Reports)\2020\2%20-%20Juin\MTM%20Report%20-%20Les%20jardins%20d%20Aurelie%20Inc.%20-%2006-30-202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s\Financement%20externe\Juste%20Valeur%20(MTM%20Reports)\2020\2%20-%20Juin\MTM%20Report%20-%20Sedna%20Finance%20Inc.%20-%2006-30-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s\Comptabilit&#233;\Consolidation\2019\12%20d&#233;cembre%202019\JVM%20Swap\MTM%20Report%20-%20Immeuble%20Champlain%20Patriotes%20Inc.%20-%2012-31-20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s\Comptabilit&#233;\Consolidation\2019\12%20d&#233;cembre%202019\JVM%20Swap\MTM%20Report%20-%20Les%20jardins%20d%20Aurelie%20Inc.%20-%2012-31-201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s\Comptabilit&#233;\Consolidation\2019\12%20d&#233;cembre%202019\JVM%20Swap\MTM%20Report%20-%20Sedna%20Finance%20Inc.%20-%2012-31-201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s\Financement%20externe\Juste%20Valeur%20(MTM%20Reports)\2020\1%20-%20Mars\MTM%20Report%20-%20Groupe%20Sant&#233;%20Sedna%20Inc%20-%2003-31-2020%20-%20Copie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s\Financement%20externe\Juste%20Valeur%20(MTM%20Reports)\2020\1%20-%20Mars\MTM%20Report%20-%20Immeuble%20Champlain%20Patriotes%20Inc.%20-%2003-31-2020%20-%20Copie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s\Comptabilit&#233;\Consolidation\2020\03-Mars\MTM%20Report%20-%20Les%20jardins%20d%20Aurelie%20Inc.%20-%2003-31-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s\Comptabilit&#233;\Consolidation\2020\03-Mars\MTM%20Report%20-%20Sedna%20Finance%20Inc.%20-%2003-31-202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s\Financement%20externe\Finmetrix\Swaps%20en%20pla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M"/>
      <sheetName val="MTM Report - Groupe Santé Sedna"/>
    </sheetNames>
    <sheetDataSet>
      <sheetData sheetId="0">
        <row r="42">
          <cell r="E42" t="str">
            <v>Date de transaction</v>
          </cell>
          <cell r="F42" t="str">
            <v>Date de début</v>
          </cell>
          <cell r="G42" t="str">
            <v>Échéance</v>
          </cell>
          <cell r="I42" t="str">
            <v>Nominal initial du contrat</v>
          </cell>
          <cell r="J42" t="str">
            <v>Nominal restant</v>
          </cell>
          <cell r="O42" t="str">
            <v>Valeur indicative*</v>
          </cell>
        </row>
      </sheetData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M"/>
      <sheetName val="MTM Report - Immeuble Champlain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M"/>
    </sheetNames>
    <sheetDataSet>
      <sheetData sheetId="0">
        <row r="44">
          <cell r="J44">
            <v>6447111.8200000003</v>
          </cell>
          <cell r="O44">
            <v>583399.57435899996</v>
          </cell>
        </row>
        <row r="45">
          <cell r="J45">
            <v>3947443.21</v>
          </cell>
          <cell r="O45">
            <v>304134.14674599998</v>
          </cell>
        </row>
        <row r="46">
          <cell r="J46">
            <v>5664293.5599999996</v>
          </cell>
          <cell r="O46">
            <v>417479.71102599998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M"/>
    </sheetNames>
    <sheetDataSet>
      <sheetData sheetId="0">
        <row r="44">
          <cell r="J44">
            <v>12690936.970000001</v>
          </cell>
          <cell r="O44">
            <v>741853.46372500004</v>
          </cell>
        </row>
        <row r="45">
          <cell r="J45">
            <v>20802554.25</v>
          </cell>
          <cell r="O45">
            <v>4379258.2147519998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M"/>
      <sheetName val="MTM Report - Immeuble Champlain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M"/>
    </sheetNames>
    <sheetDataSet>
      <sheetData sheetId="0">
        <row r="44">
          <cell r="I44">
            <v>7172462.8499999996</v>
          </cell>
          <cell r="J44">
            <v>6682927.7000000002</v>
          </cell>
          <cell r="K44">
            <v>3.4</v>
          </cell>
          <cell r="O44">
            <v>332057.47367899999</v>
          </cell>
        </row>
        <row r="45">
          <cell r="I45">
            <v>4402703.46</v>
          </cell>
          <cell r="J45">
            <v>4095167.49</v>
          </cell>
          <cell r="K45">
            <v>3</v>
          </cell>
          <cell r="O45">
            <v>144551.142414</v>
          </cell>
        </row>
        <row r="46">
          <cell r="I46">
            <v>7912500</v>
          </cell>
          <cell r="J46">
            <v>5878403.1799999997</v>
          </cell>
          <cell r="K46">
            <v>2.9</v>
          </cell>
          <cell r="O46">
            <v>186249.01923800001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M"/>
    </sheetNames>
    <sheetDataSet>
      <sheetData sheetId="0">
        <row r="44">
          <cell r="I44">
            <v>13194518.01</v>
          </cell>
          <cell r="J44">
            <v>12854500.210000001</v>
          </cell>
          <cell r="K44">
            <v>2.69</v>
          </cell>
          <cell r="O44">
            <v>283708.78010899998</v>
          </cell>
        </row>
        <row r="45">
          <cell r="I45">
            <v>21557728.260000002</v>
          </cell>
          <cell r="J45">
            <v>21048899.620000001</v>
          </cell>
          <cell r="K45">
            <v>2.94</v>
          </cell>
          <cell r="O45">
            <v>1687701.4754550001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M"/>
      <sheetName val="MTM Report - Groupe Santé Sedna"/>
    </sheetNames>
    <sheetDataSet>
      <sheetData sheetId="0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M"/>
      <sheetName val="MTM Report - Immeuble Champlain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M"/>
    </sheetNames>
    <sheetDataSet>
      <sheetData sheetId="0" refreshError="1">
        <row r="44">
          <cell r="I44">
            <v>7172462.8499999996</v>
          </cell>
          <cell r="J44">
            <v>6565361.5700000003</v>
          </cell>
          <cell r="K44">
            <v>3.4</v>
          </cell>
          <cell r="O44">
            <v>580658.52545900003</v>
          </cell>
        </row>
        <row r="45">
          <cell r="I45">
            <v>4402703.46</v>
          </cell>
          <cell r="J45">
            <v>4021511.53</v>
          </cell>
          <cell r="K45">
            <v>3</v>
          </cell>
          <cell r="O45">
            <v>298646.94936199998</v>
          </cell>
        </row>
        <row r="46">
          <cell r="I46">
            <v>7912500</v>
          </cell>
          <cell r="J46">
            <v>5772065.1100000003</v>
          </cell>
          <cell r="K46">
            <v>2.9</v>
          </cell>
          <cell r="O46">
            <v>408092.17353500001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M"/>
    </sheetNames>
    <sheetDataSet>
      <sheetData sheetId="0" refreshError="1">
        <row r="44">
          <cell r="I44">
            <v>13194518.01</v>
          </cell>
          <cell r="J44">
            <v>12771647.140000001</v>
          </cell>
          <cell r="K44">
            <v>2.69</v>
          </cell>
          <cell r="O44">
            <v>725888.72642099997</v>
          </cell>
        </row>
        <row r="45">
          <cell r="I45">
            <v>21557728.260000002</v>
          </cell>
          <cell r="J45">
            <v>20923663.690000001</v>
          </cell>
          <cell r="K45">
            <v>2.94</v>
          </cell>
          <cell r="O45">
            <v>4198905.0957779996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mmaire des swaps"/>
      <sheetName val="Des Pommetiers actuel"/>
      <sheetName val="Des Pommetriers "/>
      <sheetName val="ICP actuel"/>
      <sheetName val="ICP"/>
      <sheetName val="Sedna Finance - Roselière"/>
      <sheetName val="Villa medica actuel"/>
      <sheetName val="Sedna Finance - Villa Médica"/>
      <sheetName val=" sommaire jardins "/>
      <sheetName val="8,9M"/>
      <sheetName val="5,5M"/>
      <sheetName val="7,9M"/>
      <sheetName val="6,8M"/>
      <sheetName val="Jardins D'Aurélie"/>
      <sheetName val="artisan actuel "/>
      <sheetName val="Sedna Finance - Artisan"/>
      <sheetName val="Nouv cr rotatif"/>
    </sheetNames>
    <sheetDataSet>
      <sheetData sheetId="0"/>
      <sheetData sheetId="1"/>
      <sheetData sheetId="2">
        <row r="52">
          <cell r="D52">
            <v>484326.08342378197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2C186-0081-4B1A-866F-8595AC26BDAF}">
  <sheetPr>
    <pageSetUpPr fitToPage="1"/>
  </sheetPr>
  <dimension ref="A1:O37"/>
  <sheetViews>
    <sheetView zoomScaleNormal="100" workbookViewId="0">
      <selection activeCell="I7" sqref="I7:I13"/>
    </sheetView>
  </sheetViews>
  <sheetFormatPr baseColWidth="10" defaultColWidth="11.5703125" defaultRowHeight="12.75" outlineLevelRow="1" x14ac:dyDescent="0.2"/>
  <cols>
    <col min="1" max="1" width="35.28515625" style="282" customWidth="1"/>
    <col min="2" max="2" width="12.5703125" style="282" customWidth="1"/>
    <col min="3" max="3" width="13.7109375" style="282" bestFit="1" customWidth="1"/>
    <col min="4" max="4" width="11.5703125" style="282"/>
    <col min="5" max="6" width="16.7109375" style="282" bestFit="1" customWidth="1"/>
    <col min="7" max="7" width="14.5703125" style="282" customWidth="1"/>
    <col min="8" max="8" width="17.7109375" style="282" customWidth="1"/>
    <col min="9" max="9" width="27.85546875" style="282" customWidth="1"/>
    <col min="10" max="10" width="3.28515625" style="282" customWidth="1"/>
    <col min="11" max="11" width="15.28515625" style="282" bestFit="1" customWidth="1"/>
    <col min="12" max="12" width="18.140625" style="241" customWidth="1"/>
    <col min="13" max="13" width="11.5703125" style="241"/>
    <col min="14" max="14" width="32.85546875" style="241" customWidth="1"/>
    <col min="15" max="15" width="16" style="241" bestFit="1" customWidth="1"/>
    <col min="16" max="16384" width="11.5703125" style="241"/>
  </cols>
  <sheetData>
    <row r="1" spans="1:15" x14ac:dyDescent="0.2">
      <c r="A1" s="282" t="s">
        <v>9</v>
      </c>
    </row>
    <row r="2" spans="1:15" ht="13.5" thickBot="1" x14ac:dyDescent="0.25"/>
    <row r="3" spans="1:15" ht="13.5" thickBot="1" x14ac:dyDescent="0.25">
      <c r="A3" s="282" t="s">
        <v>0</v>
      </c>
      <c r="B3" s="283">
        <v>45838</v>
      </c>
      <c r="C3" s="284"/>
      <c r="D3" s="284"/>
      <c r="E3" s="284"/>
      <c r="F3" s="284"/>
      <c r="G3" s="284"/>
      <c r="H3" s="284"/>
      <c r="I3" s="285"/>
    </row>
    <row r="4" spans="1:15" ht="58.15" customHeight="1" x14ac:dyDescent="0.2">
      <c r="A4" s="286" t="s">
        <v>116</v>
      </c>
      <c r="B4" s="287" t="s">
        <v>80</v>
      </c>
      <c r="C4" s="288" t="s">
        <v>81</v>
      </c>
      <c r="D4" s="288" t="s">
        <v>82</v>
      </c>
      <c r="E4" s="289" t="s">
        <v>83</v>
      </c>
      <c r="F4" s="289" t="s">
        <v>97</v>
      </c>
      <c r="G4" s="288" t="s">
        <v>10</v>
      </c>
      <c r="H4" s="288" t="s">
        <v>127</v>
      </c>
      <c r="I4" s="290" t="s">
        <v>98</v>
      </c>
      <c r="K4" s="288"/>
      <c r="L4" s="242" t="s">
        <v>101</v>
      </c>
      <c r="M4" s="242" t="s">
        <v>102</v>
      </c>
      <c r="O4" s="241" t="s">
        <v>103</v>
      </c>
    </row>
    <row r="5" spans="1:15" x14ac:dyDescent="0.2">
      <c r="A5" s="291"/>
      <c r="B5" s="292"/>
      <c r="C5" s="293"/>
      <c r="D5" s="293"/>
      <c r="E5" s="178"/>
      <c r="F5" s="178"/>
      <c r="G5" s="179"/>
      <c r="H5" s="179"/>
      <c r="I5" s="180" t="s">
        <v>118</v>
      </c>
      <c r="K5" s="294"/>
      <c r="L5" s="133"/>
      <c r="M5" s="244"/>
      <c r="O5" s="243"/>
    </row>
    <row r="6" spans="1:15" x14ac:dyDescent="0.2">
      <c r="A6" s="291"/>
      <c r="B6" s="292"/>
      <c r="C6" s="293"/>
      <c r="D6" s="293"/>
      <c r="E6" s="178"/>
      <c r="F6" s="178"/>
      <c r="G6" s="179"/>
      <c r="H6" s="179"/>
      <c r="I6" s="180" t="s">
        <v>104</v>
      </c>
      <c r="K6" s="294"/>
      <c r="L6" s="181"/>
      <c r="M6" s="244"/>
      <c r="O6" s="243"/>
    </row>
    <row r="7" spans="1:15" x14ac:dyDescent="0.2">
      <c r="A7" s="291" t="s">
        <v>128</v>
      </c>
      <c r="B7" s="292">
        <v>45499</v>
      </c>
      <c r="C7" s="293">
        <v>45499</v>
      </c>
      <c r="D7" s="293">
        <v>49151</v>
      </c>
      <c r="E7" s="178">
        <v>30000000</v>
      </c>
      <c r="F7" s="178">
        <v>30000000</v>
      </c>
      <c r="G7" s="179">
        <v>2.87E-2</v>
      </c>
      <c r="H7" s="179">
        <v>2.2954700000000001E-2</v>
      </c>
      <c r="I7" s="271">
        <v>-53869.36</v>
      </c>
      <c r="J7" s="327"/>
      <c r="K7" s="272" t="s">
        <v>69</v>
      </c>
      <c r="L7" s="133" t="s">
        <v>150</v>
      </c>
      <c r="M7" s="244">
        <v>46599</v>
      </c>
      <c r="N7" s="241" t="s">
        <v>123</v>
      </c>
      <c r="O7" s="243" t="s">
        <v>136</v>
      </c>
    </row>
    <row r="8" spans="1:15" x14ac:dyDescent="0.2">
      <c r="A8" s="291" t="s">
        <v>128</v>
      </c>
      <c r="B8" s="292">
        <v>45499</v>
      </c>
      <c r="C8" s="293">
        <v>45499</v>
      </c>
      <c r="D8" s="293">
        <v>47325</v>
      </c>
      <c r="E8" s="178">
        <v>45000000</v>
      </c>
      <c r="F8" s="178">
        <v>44163582.129999995</v>
      </c>
      <c r="G8" s="179">
        <v>2.7799999999999998E-2</v>
      </c>
      <c r="H8" s="179">
        <v>2.2954700000000001E-2</v>
      </c>
      <c r="I8" s="271">
        <v>397925.31</v>
      </c>
      <c r="J8" s="327"/>
      <c r="K8" s="272" t="s">
        <v>69</v>
      </c>
      <c r="L8" s="133" t="s">
        <v>151</v>
      </c>
      <c r="M8" s="244">
        <v>46599</v>
      </c>
      <c r="N8" s="241" t="s">
        <v>123</v>
      </c>
      <c r="O8" s="243" t="s">
        <v>31</v>
      </c>
    </row>
    <row r="9" spans="1:15" x14ac:dyDescent="0.2">
      <c r="A9" s="291" t="s">
        <v>128</v>
      </c>
      <c r="B9" s="292">
        <v>45517</v>
      </c>
      <c r="C9" s="293">
        <v>45517</v>
      </c>
      <c r="D9" s="293">
        <v>47325</v>
      </c>
      <c r="E9" s="178">
        <v>30000000</v>
      </c>
      <c r="F9" s="178">
        <v>29415491</v>
      </c>
      <c r="G9" s="179">
        <v>2.4799999999999999E-2</v>
      </c>
      <c r="H9" s="179">
        <v>2.2954700000000001E-2</v>
      </c>
      <c r="I9" s="271">
        <f>-5270340.25+5196092.74</f>
        <v>-74247.509999999776</v>
      </c>
      <c r="J9" s="327"/>
      <c r="K9" s="272" t="s">
        <v>76</v>
      </c>
      <c r="L9" s="133" t="s">
        <v>151</v>
      </c>
      <c r="M9" s="244">
        <f>+M8</f>
        <v>46599</v>
      </c>
      <c r="N9" s="241" t="s">
        <v>123</v>
      </c>
      <c r="O9" s="243" t="s">
        <v>31</v>
      </c>
    </row>
    <row r="10" spans="1:15" x14ac:dyDescent="0.2">
      <c r="A10" s="291" t="s">
        <v>128</v>
      </c>
      <c r="B10" s="292">
        <v>45524</v>
      </c>
      <c r="C10" s="293">
        <v>45524</v>
      </c>
      <c r="D10" s="293">
        <v>46594</v>
      </c>
      <c r="E10" s="178">
        <v>15000000</v>
      </c>
      <c r="F10" s="178">
        <v>14759012.25</v>
      </c>
      <c r="G10" s="179">
        <v>3.1300000000000001E-2</v>
      </c>
      <c r="H10" s="179">
        <v>2.2954700000000001E-2</v>
      </c>
      <c r="I10" s="271">
        <v>196950.86</v>
      </c>
      <c r="J10" s="327"/>
      <c r="K10" s="272" t="s">
        <v>152</v>
      </c>
      <c r="L10" s="133" t="s">
        <v>153</v>
      </c>
      <c r="M10" s="244">
        <f>+M9</f>
        <v>46599</v>
      </c>
      <c r="N10" s="241" t="s">
        <v>123</v>
      </c>
      <c r="O10" s="243" t="s">
        <v>40</v>
      </c>
    </row>
    <row r="11" spans="1:15" x14ac:dyDescent="0.2">
      <c r="A11" s="291" t="s">
        <v>128</v>
      </c>
      <c r="B11" s="292">
        <v>45644</v>
      </c>
      <c r="C11" s="293">
        <v>45644</v>
      </c>
      <c r="D11" s="293">
        <v>46385</v>
      </c>
      <c r="E11" s="178">
        <v>5700000</v>
      </c>
      <c r="F11" s="178">
        <v>5650022.8600000003</v>
      </c>
      <c r="G11" s="179">
        <v>2.9175E-2</v>
      </c>
      <c r="H11" s="179">
        <v>2.2954700000000001E-2</v>
      </c>
      <c r="I11" s="271">
        <v>38009.35</v>
      </c>
      <c r="J11" s="327"/>
      <c r="K11" s="272" t="s">
        <v>69</v>
      </c>
      <c r="L11" s="133" t="s">
        <v>154</v>
      </c>
      <c r="M11" s="244">
        <f>+M10</f>
        <v>46599</v>
      </c>
      <c r="N11" s="241" t="s">
        <v>123</v>
      </c>
      <c r="O11" s="243" t="s">
        <v>40</v>
      </c>
    </row>
    <row r="12" spans="1:15" x14ac:dyDescent="0.2">
      <c r="A12" s="291" t="s">
        <v>128</v>
      </c>
      <c r="B12" s="292">
        <v>45674</v>
      </c>
      <c r="C12" s="293">
        <v>45674</v>
      </c>
      <c r="D12" s="293">
        <v>46413</v>
      </c>
      <c r="E12" s="178">
        <v>3800000</v>
      </c>
      <c r="F12" s="178">
        <v>3762438</v>
      </c>
      <c r="G12" s="179">
        <v>2.9000000000000001E-2</v>
      </c>
      <c r="H12" s="179">
        <v>2.2954700000000001E-2</v>
      </c>
      <c r="I12" s="271">
        <f>298833.01-273174.94</f>
        <v>25658.070000000007</v>
      </c>
      <c r="J12" s="327"/>
      <c r="K12" s="272" t="s">
        <v>76</v>
      </c>
      <c r="L12" s="133" t="s">
        <v>155</v>
      </c>
      <c r="M12" s="244">
        <f>+M11</f>
        <v>46599</v>
      </c>
      <c r="N12" s="241" t="s">
        <v>123</v>
      </c>
      <c r="O12" s="243" t="s">
        <v>40</v>
      </c>
    </row>
    <row r="13" spans="1:15" ht="13.5" thickBot="1" x14ac:dyDescent="0.25">
      <c r="A13" s="291" t="s">
        <v>128</v>
      </c>
      <c r="B13" s="292">
        <v>45674</v>
      </c>
      <c r="C13" s="295">
        <v>45674</v>
      </c>
      <c r="D13" s="293">
        <v>46413</v>
      </c>
      <c r="E13" s="178">
        <v>1900000</v>
      </c>
      <c r="F13" s="178">
        <v>1881483.34</v>
      </c>
      <c r="G13" s="179">
        <v>0.03</v>
      </c>
      <c r="H13" s="179">
        <v>2.2954700000000001E-2</v>
      </c>
      <c r="I13" s="271">
        <v>15406.6</v>
      </c>
      <c r="J13" s="327"/>
      <c r="K13" s="272" t="s">
        <v>152</v>
      </c>
      <c r="L13" s="133" t="s">
        <v>155</v>
      </c>
      <c r="M13" s="244">
        <f>+M12</f>
        <v>46599</v>
      </c>
      <c r="N13" s="241" t="s">
        <v>123</v>
      </c>
      <c r="O13" s="243" t="s">
        <v>40</v>
      </c>
    </row>
    <row r="14" spans="1:15" ht="13.5" thickBot="1" x14ac:dyDescent="0.25">
      <c r="B14" s="296"/>
      <c r="D14" s="297"/>
      <c r="E14" s="298">
        <f>SUM(E7:E13)</f>
        <v>131400000</v>
      </c>
      <c r="F14" s="299">
        <f>SUM(F7:F13)</f>
        <v>129632029.58</v>
      </c>
      <c r="G14" s="297"/>
      <c r="H14" s="297"/>
      <c r="I14" s="300">
        <f>SUM(I7:I13)</f>
        <v>545833.32000000018</v>
      </c>
      <c r="K14" s="294"/>
      <c r="L14" s="181"/>
      <c r="M14" s="244"/>
      <c r="O14" s="243"/>
    </row>
    <row r="15" spans="1:15" ht="13.5" thickBot="1" x14ac:dyDescent="0.25">
      <c r="B15" s="301"/>
      <c r="C15" s="294"/>
      <c r="E15" s="302"/>
      <c r="F15" s="303">
        <f>+F14/F27</f>
        <v>1</v>
      </c>
      <c r="I15" s="304"/>
      <c r="K15" s="294"/>
      <c r="L15" s="181"/>
      <c r="M15" s="244"/>
      <c r="O15" s="243"/>
    </row>
    <row r="16" spans="1:15" outlineLevel="1" x14ac:dyDescent="0.2">
      <c r="A16" s="286"/>
      <c r="B16" s="301"/>
      <c r="C16" s="294" t="s">
        <v>125</v>
      </c>
      <c r="E16" s="294"/>
      <c r="F16" s="294" t="s">
        <v>106</v>
      </c>
      <c r="G16" s="305" t="s">
        <v>133</v>
      </c>
      <c r="H16" s="305"/>
      <c r="I16" s="306"/>
      <c r="K16" s="294"/>
      <c r="L16" s="181"/>
      <c r="M16" s="244"/>
      <c r="O16" s="243"/>
    </row>
    <row r="17" spans="1:15" outlineLevel="1" x14ac:dyDescent="0.2">
      <c r="A17" s="307" t="s">
        <v>109</v>
      </c>
      <c r="B17" s="301"/>
      <c r="C17" s="308">
        <v>55000000</v>
      </c>
      <c r="D17" s="293"/>
      <c r="E17" s="309"/>
      <c r="F17" s="308">
        <v>30000000</v>
      </c>
      <c r="G17" s="310"/>
      <c r="I17" s="304"/>
      <c r="M17" s="243"/>
      <c r="O17" s="243"/>
    </row>
    <row r="18" spans="1:15" outlineLevel="1" x14ac:dyDescent="0.2">
      <c r="A18" s="307" t="s">
        <v>126</v>
      </c>
      <c r="B18" s="301"/>
      <c r="C18" s="308">
        <v>90000000</v>
      </c>
      <c r="D18" s="293"/>
      <c r="E18" s="309"/>
      <c r="F18" s="309">
        <v>88338085.400000006</v>
      </c>
      <c r="I18" s="304"/>
      <c r="M18" s="243"/>
      <c r="O18" s="243"/>
    </row>
    <row r="19" spans="1:15" outlineLevel="1" x14ac:dyDescent="0.2">
      <c r="A19" s="307" t="s">
        <v>141</v>
      </c>
      <c r="B19" s="301"/>
      <c r="C19" s="308">
        <v>20000000</v>
      </c>
      <c r="D19" s="293"/>
      <c r="E19" s="309"/>
      <c r="F19" s="309">
        <v>11293944.199999999</v>
      </c>
      <c r="I19" s="304"/>
      <c r="M19" s="243"/>
      <c r="O19" s="243"/>
    </row>
    <row r="20" spans="1:15" x14ac:dyDescent="0.2">
      <c r="A20" s="286"/>
      <c r="B20" s="301"/>
      <c r="C20" s="308"/>
      <c r="D20" s="293"/>
      <c r="E20" s="309"/>
      <c r="F20" s="309"/>
      <c r="I20" s="304"/>
      <c r="M20" s="243"/>
      <c r="O20" s="243"/>
    </row>
    <row r="21" spans="1:15" ht="33.75" customHeight="1" x14ac:dyDescent="0.2">
      <c r="A21" s="286" t="s">
        <v>19</v>
      </c>
      <c r="B21" s="301"/>
      <c r="C21" s="308"/>
      <c r="D21" s="293"/>
      <c r="E21" s="309"/>
      <c r="F21" s="309"/>
      <c r="I21" s="304"/>
      <c r="L21" s="243"/>
      <c r="M21" s="244"/>
      <c r="O21" s="243"/>
    </row>
    <row r="22" spans="1:15" x14ac:dyDescent="0.2">
      <c r="A22" s="291"/>
      <c r="B22" s="301"/>
      <c r="C22" s="294" t="s">
        <v>125</v>
      </c>
      <c r="D22" s="293"/>
      <c r="E22" s="309"/>
      <c r="F22" s="309"/>
      <c r="I22" s="304"/>
      <c r="L22" s="243"/>
      <c r="M22" s="244"/>
      <c r="O22" s="243"/>
    </row>
    <row r="23" spans="1:15" x14ac:dyDescent="0.2">
      <c r="A23" s="291" t="s">
        <v>109</v>
      </c>
      <c r="B23" s="301"/>
      <c r="C23" s="308">
        <v>55000000</v>
      </c>
      <c r="D23" s="293"/>
      <c r="E23" s="309"/>
      <c r="F23" s="309">
        <f>F17-F7</f>
        <v>0</v>
      </c>
      <c r="I23" s="304"/>
      <c r="L23" s="243"/>
      <c r="M23" s="244"/>
      <c r="O23" s="243"/>
    </row>
    <row r="24" spans="1:15" x14ac:dyDescent="0.2">
      <c r="A24" s="307"/>
      <c r="B24" s="301"/>
      <c r="C24" s="308"/>
      <c r="D24" s="293"/>
      <c r="E24" s="309"/>
      <c r="F24" s="309"/>
      <c r="I24" s="304"/>
      <c r="L24" s="243"/>
      <c r="M24" s="244"/>
      <c r="O24" s="243"/>
    </row>
    <row r="25" spans="1:15" ht="13.5" thickBot="1" x14ac:dyDescent="0.25">
      <c r="B25" s="311"/>
      <c r="C25" s="312"/>
      <c r="D25" s="312"/>
      <c r="E25" s="313"/>
      <c r="F25" s="313">
        <f>F23+F24</f>
        <v>0</v>
      </c>
      <c r="G25" s="312"/>
      <c r="H25" s="312"/>
      <c r="I25" s="314"/>
      <c r="L25" s="243"/>
      <c r="M25" s="244"/>
      <c r="O25" s="243"/>
    </row>
    <row r="26" spans="1:15" ht="13.5" thickBot="1" x14ac:dyDescent="0.25">
      <c r="B26" s="301"/>
      <c r="F26" s="303">
        <f>+F25/F27</f>
        <v>0</v>
      </c>
      <c r="I26" s="304"/>
      <c r="L26" s="243"/>
      <c r="M26" s="244"/>
      <c r="O26" s="243"/>
    </row>
    <row r="27" spans="1:15" ht="13.5" thickBot="1" x14ac:dyDescent="0.25">
      <c r="A27" s="315" t="s">
        <v>117</v>
      </c>
      <c r="B27" s="316"/>
      <c r="C27" s="317"/>
      <c r="D27" s="317"/>
      <c r="E27" s="318">
        <f>+E14+F25</f>
        <v>131400000</v>
      </c>
      <c r="F27" s="319">
        <f>+F14+F25</f>
        <v>129632029.58</v>
      </c>
      <c r="G27" s="317"/>
      <c r="H27" s="317"/>
      <c r="I27" s="320"/>
      <c r="L27" s="243"/>
      <c r="M27" s="244"/>
      <c r="O27" s="243"/>
    </row>
    <row r="28" spans="1:15" ht="13.5" thickTop="1" x14ac:dyDescent="0.2">
      <c r="B28" s="301"/>
      <c r="I28" s="304"/>
      <c r="L28" s="243"/>
      <c r="M28" s="244"/>
      <c r="O28" s="243"/>
    </row>
    <row r="29" spans="1:15" ht="13.5" thickBot="1" x14ac:dyDescent="0.25">
      <c r="B29" s="321"/>
      <c r="C29" s="322"/>
      <c r="D29" s="322"/>
      <c r="E29" s="322"/>
      <c r="F29" s="322"/>
      <c r="G29" s="322"/>
      <c r="H29" s="322"/>
      <c r="I29" s="323"/>
      <c r="M29" s="243"/>
    </row>
    <row r="30" spans="1:15" x14ac:dyDescent="0.2">
      <c r="M30" s="243"/>
    </row>
    <row r="31" spans="1:15" x14ac:dyDescent="0.2">
      <c r="A31" s="282" t="s">
        <v>42</v>
      </c>
      <c r="B31" s="207"/>
      <c r="E31" s="302">
        <f>F14</f>
        <v>129632029.58</v>
      </c>
      <c r="F31" s="324">
        <f>+E31/E31+E32</f>
        <v>1</v>
      </c>
      <c r="H31" s="325"/>
    </row>
    <row r="32" spans="1:15" x14ac:dyDescent="0.2">
      <c r="A32" s="282" t="s">
        <v>115</v>
      </c>
      <c r="B32" s="207"/>
      <c r="E32" s="302">
        <v>0</v>
      </c>
    </row>
    <row r="33" spans="1:3" x14ac:dyDescent="0.2">
      <c r="B33" s="207"/>
    </row>
    <row r="34" spans="1:3" x14ac:dyDescent="0.2">
      <c r="A34" s="282" t="s">
        <v>156</v>
      </c>
      <c r="B34" s="326">
        <f>+F15</f>
        <v>1</v>
      </c>
      <c r="C34" s="282" t="s">
        <v>108</v>
      </c>
    </row>
    <row r="35" spans="1:3" x14ac:dyDescent="0.2">
      <c r="B35" s="207"/>
    </row>
    <row r="36" spans="1:3" x14ac:dyDescent="0.2">
      <c r="A36" s="282" t="s">
        <v>62</v>
      </c>
    </row>
    <row r="37" spans="1:3" x14ac:dyDescent="0.2">
      <c r="B37" s="207"/>
    </row>
  </sheetData>
  <mergeCells count="2">
    <mergeCell ref="B3:I3"/>
    <mergeCell ref="G16:I16"/>
  </mergeCells>
  <pageMargins left="0.70866141732283472" right="0.70866141732283472" top="0.74803149606299213" bottom="0.74803149606299213" header="0.31496062992125984" footer="0.31496062992125984"/>
  <pageSetup scale="46" orientation="landscape" r:id="rId1"/>
  <headerFooter>
    <oddFooter>&amp;L&amp;Z
&amp;F&amp;C&amp;A&amp;R&amp;D
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EE76D-E06A-4C4F-ADC8-431996F37238}">
  <dimension ref="A1:N91"/>
  <sheetViews>
    <sheetView topLeftCell="A56" zoomScaleNormal="100" workbookViewId="0">
      <selection activeCell="E77" sqref="E77"/>
    </sheetView>
  </sheetViews>
  <sheetFormatPr baseColWidth="10" defaultColWidth="11.5703125" defaultRowHeight="15" outlineLevelRow="1" x14ac:dyDescent="0.25"/>
  <cols>
    <col min="1" max="1" width="28.28515625" customWidth="1"/>
    <col min="2" max="2" width="12.42578125" customWidth="1"/>
    <col min="3" max="3" width="13.7109375" bestFit="1" customWidth="1"/>
    <col min="5" max="6" width="15.28515625" bestFit="1" customWidth="1"/>
    <col min="7" max="7" width="14.5703125" customWidth="1"/>
    <col min="8" max="8" width="12.5703125" bestFit="1" customWidth="1"/>
    <col min="9" max="9" width="3.28515625" customWidth="1"/>
    <col min="10" max="10" width="15.28515625" bestFit="1" customWidth="1"/>
    <col min="11" max="11" width="18.140625" customWidth="1"/>
    <col min="13" max="13" width="24.7109375" customWidth="1"/>
  </cols>
  <sheetData>
    <row r="1" spans="1:11" x14ac:dyDescent="0.25">
      <c r="A1" t="s">
        <v>9</v>
      </c>
    </row>
    <row r="2" spans="1:11" ht="31.15" hidden="1" customHeight="1" outlineLevel="1" thickBot="1" x14ac:dyDescent="0.3">
      <c r="A2" t="s">
        <v>0</v>
      </c>
      <c r="B2" s="257">
        <v>43830</v>
      </c>
      <c r="C2" s="258"/>
      <c r="D2" s="258"/>
      <c r="E2" s="258"/>
      <c r="F2" s="258"/>
      <c r="G2" s="258"/>
      <c r="H2" s="259"/>
      <c r="J2" s="14">
        <v>43465</v>
      </c>
      <c r="K2" s="19" t="s">
        <v>6</v>
      </c>
    </row>
    <row r="3" spans="1:11" ht="30" hidden="1" outlineLevel="1" x14ac:dyDescent="0.25">
      <c r="B3" s="2" t="str">
        <f>+[1]MTM!$E$42</f>
        <v>Date de transaction</v>
      </c>
      <c r="C3" s="3" t="str">
        <f>+[1]MTM!$F$42</f>
        <v>Date de début</v>
      </c>
      <c r="D3" s="3" t="str">
        <f>+[1]MTM!$G$42</f>
        <v>Échéance</v>
      </c>
      <c r="E3" s="3" t="str">
        <f>+[1]MTM!$I$42</f>
        <v>Nominal initial du contrat</v>
      </c>
      <c r="F3" s="3" t="str">
        <f>+[1]MTM!$J$42</f>
        <v>Nominal restant</v>
      </c>
      <c r="G3" s="21" t="s">
        <v>10</v>
      </c>
      <c r="H3" s="4" t="str">
        <f>+[1]MTM!$O$42</f>
        <v>Valeur indicative*</v>
      </c>
      <c r="J3" s="15" t="str">
        <f>+[1]MTM!$O$42</f>
        <v>Valeur indicative*</v>
      </c>
    </row>
    <row r="4" spans="1:11" hidden="1" outlineLevel="1" x14ac:dyDescent="0.25">
      <c r="A4" t="s">
        <v>1</v>
      </c>
      <c r="B4" s="5">
        <v>42821</v>
      </c>
      <c r="C4" s="6">
        <v>42821</v>
      </c>
      <c r="D4" s="6">
        <v>44281</v>
      </c>
      <c r="E4" s="7">
        <v>766756</v>
      </c>
      <c r="F4" s="7">
        <v>530199</v>
      </c>
      <c r="G4" s="8" t="e">
        <f>+[1]!TableIRD[Taux/ Rate]/100</f>
        <v>#REF!</v>
      </c>
      <c r="H4" s="9" t="e">
        <f>+[1]!TableIRD[Valeur Indicative*/ Indicative Value *]</f>
        <v>#REF!</v>
      </c>
      <c r="J4" s="16">
        <v>-8124.27</v>
      </c>
      <c r="K4">
        <v>4213</v>
      </c>
    </row>
    <row r="5" spans="1:11" hidden="1" outlineLevel="1" x14ac:dyDescent="0.25">
      <c r="A5" t="s">
        <v>2</v>
      </c>
      <c r="B5" s="5">
        <v>41061</v>
      </c>
      <c r="C5" s="6">
        <v>43430</v>
      </c>
      <c r="D5" s="6">
        <v>44526</v>
      </c>
      <c r="E5" s="7">
        <v>16834462</v>
      </c>
      <c r="F5" s="7">
        <v>16322594</v>
      </c>
      <c r="G5" s="8" t="e">
        <f>+[2]!TableIRD[Taux/ Rate]/100</f>
        <v>#REF!</v>
      </c>
      <c r="H5" s="9" t="e">
        <f>+[2]!TableIRD[Valeur Indicative*/ Indicative Value *]</f>
        <v>#REF!</v>
      </c>
      <c r="J5" s="16">
        <v>25939.91</v>
      </c>
    </row>
    <row r="6" spans="1:11" hidden="1" outlineLevel="1" x14ac:dyDescent="0.25">
      <c r="A6" t="s">
        <v>3</v>
      </c>
      <c r="B6" s="5">
        <v>41514</v>
      </c>
      <c r="C6" s="6">
        <v>43434</v>
      </c>
      <c r="D6" s="6">
        <v>45442</v>
      </c>
      <c r="E6" s="7">
        <f>+[3]MTM!I44</f>
        <v>7172462.8499999996</v>
      </c>
      <c r="F6" s="7">
        <f>+[3]MTM!J44</f>
        <v>6682927.7000000002</v>
      </c>
      <c r="G6" s="8">
        <f>+[3]MTM!K44/100</f>
        <v>3.4000000000000002E-2</v>
      </c>
      <c r="H6" s="9">
        <f>+[3]MTM!O44</f>
        <v>332057.47367899999</v>
      </c>
      <c r="J6" s="16">
        <v>348277.56</v>
      </c>
    </row>
    <row r="7" spans="1:11" hidden="1" outlineLevel="1" x14ac:dyDescent="0.25">
      <c r="A7" t="s">
        <v>3</v>
      </c>
      <c r="B7" s="5">
        <v>41663</v>
      </c>
      <c r="C7" s="6">
        <v>43434</v>
      </c>
      <c r="D7" s="6">
        <v>45442</v>
      </c>
      <c r="E7" s="7">
        <f>+[3]MTM!I45</f>
        <v>4402703.46</v>
      </c>
      <c r="F7" s="7">
        <f>+[3]MTM!J45</f>
        <v>4095167.49</v>
      </c>
      <c r="G7" s="8">
        <f>+[3]MTM!K45/100</f>
        <v>0.03</v>
      </c>
      <c r="H7" s="9">
        <f>+[3]MTM!O45</f>
        <v>144551.142414</v>
      </c>
      <c r="J7" s="16">
        <v>139218.39000000001</v>
      </c>
    </row>
    <row r="8" spans="1:11" hidden="1" outlineLevel="1" x14ac:dyDescent="0.25">
      <c r="A8" t="s">
        <v>3</v>
      </c>
      <c r="B8" s="5">
        <v>41716</v>
      </c>
      <c r="C8" s="6">
        <v>41789</v>
      </c>
      <c r="D8" s="6">
        <v>45442</v>
      </c>
      <c r="E8" s="7">
        <f>+[3]MTM!I46</f>
        <v>7912500</v>
      </c>
      <c r="F8" s="7">
        <f>+[3]MTM!J46</f>
        <v>5878403.1799999997</v>
      </c>
      <c r="G8" s="8">
        <f>+[3]MTM!K46/100</f>
        <v>2.8999999999999998E-2</v>
      </c>
      <c r="H8" s="9">
        <f>+[3]MTM!O46</f>
        <v>186249.01923800001</v>
      </c>
      <c r="J8" s="16">
        <v>173283.54</v>
      </c>
    </row>
    <row r="9" spans="1:11" hidden="1" outlineLevel="1" x14ac:dyDescent="0.25">
      <c r="A9" t="s">
        <v>4</v>
      </c>
      <c r="B9" s="5">
        <v>43249</v>
      </c>
      <c r="C9" s="6">
        <v>43430</v>
      </c>
      <c r="D9" s="6">
        <v>45072</v>
      </c>
      <c r="E9" s="7">
        <f>+[4]MTM!I44</f>
        <v>13194518.01</v>
      </c>
      <c r="F9" s="7">
        <f>+[4]MTM!J44</f>
        <v>12854500.210000001</v>
      </c>
      <c r="G9" s="8">
        <f>+[4]MTM!K44/100</f>
        <v>2.69E-2</v>
      </c>
      <c r="H9" s="9">
        <f>+[4]MTM!O44</f>
        <v>283708.78010899998</v>
      </c>
      <c r="J9" s="16">
        <v>247739.76</v>
      </c>
    </row>
    <row r="10" spans="1:11" hidden="1" outlineLevel="1" x14ac:dyDescent="0.25">
      <c r="A10" t="s">
        <v>5</v>
      </c>
      <c r="B10" s="5">
        <v>43249</v>
      </c>
      <c r="C10" s="6">
        <v>43430</v>
      </c>
      <c r="D10" s="6">
        <v>50551</v>
      </c>
      <c r="E10" s="7">
        <f>+[4]MTM!I45</f>
        <v>21557728.260000002</v>
      </c>
      <c r="F10" s="7">
        <f>+[4]MTM!J45</f>
        <v>21048899.620000001</v>
      </c>
      <c r="G10" s="8">
        <f>+[4]MTM!K45/100</f>
        <v>2.9399999999999999E-2</v>
      </c>
      <c r="H10" s="9">
        <f>+[4]MTM!O45</f>
        <v>1687701.4754550001</v>
      </c>
      <c r="J10" s="16">
        <v>943238.22</v>
      </c>
    </row>
    <row r="11" spans="1:11" ht="15.75" hidden="1" outlineLevel="1" thickBot="1" x14ac:dyDescent="0.3">
      <c r="B11" s="10"/>
      <c r="C11" s="11"/>
      <c r="D11" s="11"/>
      <c r="E11" s="12"/>
      <c r="F11" s="12"/>
      <c r="G11" s="12"/>
      <c r="H11" s="13" t="e">
        <f>SUM(H4:H10)</f>
        <v>#REF!</v>
      </c>
      <c r="J11" s="17">
        <f>SUM(J4:J10)</f>
        <v>1869573.1099999999</v>
      </c>
    </row>
    <row r="12" spans="1:11" hidden="1" outlineLevel="1" x14ac:dyDescent="0.25">
      <c r="E12" s="1"/>
      <c r="F12" s="1"/>
      <c r="G12" s="1"/>
      <c r="H12" s="1"/>
    </row>
    <row r="13" spans="1:11" ht="15.75" hidden="1" outlineLevel="1" thickBot="1" x14ac:dyDescent="0.3">
      <c r="A13" t="s">
        <v>0</v>
      </c>
      <c r="B13" s="257">
        <v>43906</v>
      </c>
      <c r="C13" s="258"/>
      <c r="D13" s="258"/>
      <c r="E13" s="258"/>
      <c r="F13" s="258"/>
      <c r="G13" s="258"/>
      <c r="H13" s="259"/>
    </row>
    <row r="14" spans="1:11" ht="30" hidden="1" outlineLevel="1" x14ac:dyDescent="0.25">
      <c r="B14" s="2" t="str">
        <f>+[1]MTM!$E$42</f>
        <v>Date de transaction</v>
      </c>
      <c r="C14" s="3" t="str">
        <f>+[1]MTM!$F$42</f>
        <v>Date de début</v>
      </c>
      <c r="D14" s="3" t="str">
        <f>+[1]MTM!$G$42</f>
        <v>Échéance</v>
      </c>
      <c r="E14" s="3" t="str">
        <f>+[1]MTM!$I$42</f>
        <v>Nominal initial du contrat</v>
      </c>
      <c r="F14" s="3" t="str">
        <f>+[1]MTM!$J$42</f>
        <v>Nominal restant</v>
      </c>
      <c r="G14" s="21" t="str">
        <f>+$G$3</f>
        <v>Taux Swap</v>
      </c>
      <c r="H14" s="4" t="str">
        <f>+[1]MTM!$O$42</f>
        <v>Valeur indicative*</v>
      </c>
    </row>
    <row r="15" spans="1:11" hidden="1" outlineLevel="1" x14ac:dyDescent="0.25">
      <c r="A15" t="s">
        <v>1</v>
      </c>
      <c r="B15" s="5">
        <v>42821</v>
      </c>
      <c r="C15" s="6">
        <v>42821</v>
      </c>
      <c r="D15" s="6">
        <v>44281</v>
      </c>
      <c r="E15" s="7">
        <f>+E4</f>
        <v>766756</v>
      </c>
      <c r="F15" s="7">
        <v>515028</v>
      </c>
      <c r="G15" s="8">
        <v>1.49E-2</v>
      </c>
      <c r="H15" s="9">
        <v>4213</v>
      </c>
      <c r="J15" s="20"/>
    </row>
    <row r="16" spans="1:11" hidden="1" outlineLevel="1" x14ac:dyDescent="0.25">
      <c r="A16" t="s">
        <v>2</v>
      </c>
      <c r="B16" s="5">
        <v>41061</v>
      </c>
      <c r="C16" s="6">
        <v>43430</v>
      </c>
      <c r="D16" s="6">
        <v>44526</v>
      </c>
      <c r="E16" s="7">
        <f t="shared" ref="E16:E21" si="0">+E5</f>
        <v>16834462</v>
      </c>
      <c r="F16" s="7">
        <v>16241895</v>
      </c>
      <c r="G16" s="8">
        <v>2.2499999999999999E-2</v>
      </c>
      <c r="H16" s="9">
        <v>438758</v>
      </c>
    </row>
    <row r="17" spans="1:12" hidden="1" outlineLevel="1" x14ac:dyDescent="0.25">
      <c r="A17" t="s">
        <v>3</v>
      </c>
      <c r="B17" s="5">
        <v>41514</v>
      </c>
      <c r="C17" s="6">
        <v>43434</v>
      </c>
      <c r="D17" s="6">
        <v>45442</v>
      </c>
      <c r="E17" s="7">
        <f t="shared" si="0"/>
        <v>7172462.8499999996</v>
      </c>
      <c r="F17" s="7">
        <v>6604038</v>
      </c>
      <c r="G17" s="8">
        <v>3.4000000000000002E-2</v>
      </c>
      <c r="H17" s="9">
        <v>593380</v>
      </c>
    </row>
    <row r="18" spans="1:12" hidden="1" outlineLevel="1" x14ac:dyDescent="0.25">
      <c r="A18" t="s">
        <v>3</v>
      </c>
      <c r="B18" s="5">
        <v>41663</v>
      </c>
      <c r="C18" s="6">
        <v>43434</v>
      </c>
      <c r="D18" s="6">
        <v>45442</v>
      </c>
      <c r="E18" s="7">
        <f t="shared" si="0"/>
        <v>4402703.46</v>
      </c>
      <c r="F18" s="7">
        <v>4045774</v>
      </c>
      <c r="G18" s="8">
        <v>0.03</v>
      </c>
      <c r="H18" s="9">
        <v>305037</v>
      </c>
    </row>
    <row r="19" spans="1:12" hidden="1" outlineLevel="1" x14ac:dyDescent="0.25">
      <c r="A19" t="s">
        <v>3</v>
      </c>
      <c r="B19" s="5">
        <v>41716</v>
      </c>
      <c r="C19" s="6">
        <v>41789</v>
      </c>
      <c r="D19" s="6">
        <v>45442</v>
      </c>
      <c r="E19" s="7">
        <f t="shared" si="0"/>
        <v>7912500</v>
      </c>
      <c r="F19" s="7">
        <v>5806253</v>
      </c>
      <c r="G19" s="8">
        <v>2.9000000000000001E-2</v>
      </c>
      <c r="H19" s="9">
        <v>416842</v>
      </c>
    </row>
    <row r="20" spans="1:12" hidden="1" outlineLevel="1" x14ac:dyDescent="0.25">
      <c r="A20" t="s">
        <v>4</v>
      </c>
      <c r="B20" s="5">
        <v>43249</v>
      </c>
      <c r="C20" s="6">
        <v>43430</v>
      </c>
      <c r="D20" s="6">
        <v>45072</v>
      </c>
      <c r="E20" s="7">
        <f t="shared" si="0"/>
        <v>13194518.01</v>
      </c>
      <c r="F20" s="7">
        <v>12800855</v>
      </c>
      <c r="G20" s="8">
        <v>2.69E-2</v>
      </c>
      <c r="H20" s="9">
        <v>742735</v>
      </c>
      <c r="I20" s="18"/>
      <c r="J20" s="18"/>
      <c r="K20" s="18"/>
      <c r="L20" s="18"/>
    </row>
    <row r="21" spans="1:12" hidden="1" outlineLevel="1" x14ac:dyDescent="0.25">
      <c r="A21" t="s">
        <v>5</v>
      </c>
      <c r="B21" s="5">
        <v>43249</v>
      </c>
      <c r="C21" s="6">
        <v>43430</v>
      </c>
      <c r="D21" s="6">
        <v>50551</v>
      </c>
      <c r="E21" s="7">
        <f t="shared" si="0"/>
        <v>21557728.260000002</v>
      </c>
      <c r="F21" s="7">
        <v>20968416</v>
      </c>
      <c r="G21" s="8">
        <v>2.9399999999999999E-2</v>
      </c>
      <c r="H21" s="9">
        <v>4386836</v>
      </c>
    </row>
    <row r="22" spans="1:12" ht="15.75" hidden="1" outlineLevel="1" thickBot="1" x14ac:dyDescent="0.3">
      <c r="B22" s="10"/>
      <c r="C22" s="11"/>
      <c r="D22" s="11"/>
      <c r="E22" s="12"/>
      <c r="F22" s="12"/>
      <c r="G22" s="12"/>
      <c r="H22" s="13">
        <f>SUM(H15:H21)</f>
        <v>6887801</v>
      </c>
    </row>
    <row r="23" spans="1:12" hidden="1" outlineLevel="1" x14ac:dyDescent="0.25"/>
    <row r="24" spans="1:12" hidden="1" outlineLevel="1" x14ac:dyDescent="0.25">
      <c r="A24" t="s">
        <v>7</v>
      </c>
      <c r="H24" s="20" t="e">
        <f>+H22-$H$11</f>
        <v>#REF!</v>
      </c>
      <c r="J24" s="20"/>
    </row>
    <row r="25" spans="1:12" hidden="1" outlineLevel="1" x14ac:dyDescent="0.25">
      <c r="J25" s="20"/>
    </row>
    <row r="26" spans="1:12" hidden="1" outlineLevel="1" x14ac:dyDescent="0.25"/>
    <row r="27" spans="1:12" ht="15.75" hidden="1" outlineLevel="1" thickBot="1" x14ac:dyDescent="0.3">
      <c r="A27" t="s">
        <v>0</v>
      </c>
      <c r="B27" s="257">
        <v>43921</v>
      </c>
      <c r="C27" s="258"/>
      <c r="D27" s="258"/>
      <c r="E27" s="258"/>
      <c r="F27" s="258"/>
      <c r="G27" s="258"/>
      <c r="H27" s="259"/>
    </row>
    <row r="28" spans="1:12" ht="30" hidden="1" outlineLevel="1" x14ac:dyDescent="0.25">
      <c r="B28" s="2" t="str">
        <f>+[1]MTM!$E$42</f>
        <v>Date de transaction</v>
      </c>
      <c r="C28" s="3" t="str">
        <f>+[1]MTM!$F$42</f>
        <v>Date de début</v>
      </c>
      <c r="D28" s="3" t="str">
        <f>+[1]MTM!$G$42</f>
        <v>Échéance</v>
      </c>
      <c r="E28" s="3" t="str">
        <f>+[1]MTM!$I$42</f>
        <v>Nominal initial du contrat</v>
      </c>
      <c r="F28" s="3" t="str">
        <f>+[1]MTM!$J$42</f>
        <v>Nominal restant</v>
      </c>
      <c r="G28" s="21" t="str">
        <f>+$G$3</f>
        <v>Taux Swap</v>
      </c>
      <c r="H28" s="4" t="str">
        <f>+[1]MTM!$O$42</f>
        <v>Valeur indicative*</v>
      </c>
    </row>
    <row r="29" spans="1:12" hidden="1" outlineLevel="1" x14ac:dyDescent="0.25">
      <c r="A29" t="s">
        <v>1</v>
      </c>
      <c r="B29" s="5">
        <v>42821</v>
      </c>
      <c r="C29" s="6">
        <v>42821</v>
      </c>
      <c r="D29" s="6">
        <v>44281</v>
      </c>
      <c r="E29" s="7">
        <f>+E15</f>
        <v>766756</v>
      </c>
      <c r="F29" s="7">
        <v>507321</v>
      </c>
      <c r="G29" s="8">
        <v>1.49E-2</v>
      </c>
      <c r="H29" s="9" t="e" cm="1">
        <f t="array" ref="H29">+[5]!TableIRD[Valeur Indicative*/ Indicative Value *]</f>
        <v>#REF!</v>
      </c>
    </row>
    <row r="30" spans="1:12" hidden="1" outlineLevel="1" x14ac:dyDescent="0.25">
      <c r="A30" t="s">
        <v>2</v>
      </c>
      <c r="B30" s="5">
        <v>41061</v>
      </c>
      <c r="C30" s="6">
        <v>43430</v>
      </c>
      <c r="D30" s="6">
        <v>43430</v>
      </c>
      <c r="E30" s="7">
        <f>+E16</f>
        <v>16834462</v>
      </c>
      <c r="F30" s="7">
        <v>16198490</v>
      </c>
      <c r="G30" s="8" t="e" cm="1">
        <f t="array" ref="G30">+[6]!TableIRD[Taux/ Rate]/100</f>
        <v>#REF!</v>
      </c>
      <c r="H30" s="9" t="e" cm="1">
        <f t="array" ref="H30">+[6]!TableIRD[Valeur Indicative*/ Indicative Value *]</f>
        <v>#REF!</v>
      </c>
    </row>
    <row r="31" spans="1:12" hidden="1" outlineLevel="1" x14ac:dyDescent="0.25">
      <c r="A31" t="s">
        <v>3</v>
      </c>
      <c r="B31" s="5">
        <v>41514</v>
      </c>
      <c r="C31" s="6">
        <v>43434</v>
      </c>
      <c r="D31" s="6">
        <v>45442</v>
      </c>
      <c r="E31" s="7">
        <f>+[7]MTM!$I$44</f>
        <v>7172462.8499999996</v>
      </c>
      <c r="F31" s="7">
        <f>+[7]MTM!$J$44</f>
        <v>6565361.5700000003</v>
      </c>
      <c r="G31" s="8">
        <f>+[7]MTM!$K$44/100</f>
        <v>3.4000000000000002E-2</v>
      </c>
      <c r="H31" s="9">
        <f>+[7]MTM!$O$44</f>
        <v>580658.52545900003</v>
      </c>
      <c r="J31" s="20"/>
    </row>
    <row r="32" spans="1:12" hidden="1" outlineLevel="1" x14ac:dyDescent="0.25">
      <c r="A32" t="s">
        <v>3</v>
      </c>
      <c r="B32" s="5">
        <v>41663</v>
      </c>
      <c r="C32" s="6">
        <v>43434</v>
      </c>
      <c r="D32" s="6">
        <v>45442</v>
      </c>
      <c r="E32" s="7">
        <f>+[7]MTM!$I$45</f>
        <v>4402703.46</v>
      </c>
      <c r="F32" s="7">
        <f>+[7]MTM!$J$45</f>
        <v>4021511.53</v>
      </c>
      <c r="G32" s="8">
        <f>+[7]MTM!$K$45/100</f>
        <v>0.03</v>
      </c>
      <c r="H32" s="9">
        <f>+[7]MTM!$O$45</f>
        <v>298646.94936199998</v>
      </c>
    </row>
    <row r="33" spans="1:10" hidden="1" outlineLevel="1" x14ac:dyDescent="0.25">
      <c r="A33" t="s">
        <v>3</v>
      </c>
      <c r="B33" s="5">
        <v>41716</v>
      </c>
      <c r="C33" s="6">
        <v>41789</v>
      </c>
      <c r="D33" s="6">
        <v>45442</v>
      </c>
      <c r="E33" s="7">
        <f>+[7]MTM!$I$46</f>
        <v>7912500</v>
      </c>
      <c r="F33" s="7">
        <f>+[7]MTM!$J$46</f>
        <v>5772065.1100000003</v>
      </c>
      <c r="G33" s="8">
        <f>+[7]MTM!$K$46/100</f>
        <v>2.8999999999999998E-2</v>
      </c>
      <c r="H33" s="9">
        <f>+[7]MTM!$O$46</f>
        <v>408092.17353500001</v>
      </c>
    </row>
    <row r="34" spans="1:10" hidden="1" outlineLevel="1" x14ac:dyDescent="0.25">
      <c r="A34" t="s">
        <v>4</v>
      </c>
      <c r="B34" s="5">
        <v>43249</v>
      </c>
      <c r="C34" s="6">
        <v>43430</v>
      </c>
      <c r="D34" s="6">
        <v>45072</v>
      </c>
      <c r="E34" s="7">
        <f>+[8]MTM!$I$44</f>
        <v>13194518.01</v>
      </c>
      <c r="F34" s="7">
        <f>+[8]MTM!$J$44</f>
        <v>12771647.140000001</v>
      </c>
      <c r="G34" s="8">
        <f>+[8]MTM!$K$44/100</f>
        <v>2.69E-2</v>
      </c>
      <c r="H34" s="9">
        <f>+[8]MTM!$O$44</f>
        <v>725888.72642099997</v>
      </c>
    </row>
    <row r="35" spans="1:10" hidden="1" outlineLevel="1" x14ac:dyDescent="0.25">
      <c r="A35" t="s">
        <v>5</v>
      </c>
      <c r="B35" s="5">
        <v>43249</v>
      </c>
      <c r="C35" s="6">
        <v>43430</v>
      </c>
      <c r="D35" s="6">
        <v>50551</v>
      </c>
      <c r="E35" s="7">
        <f>+[8]MTM!$I$45</f>
        <v>21557728.260000002</v>
      </c>
      <c r="F35" s="7">
        <f>+[8]MTM!$J$45</f>
        <v>20923663.690000001</v>
      </c>
      <c r="G35" s="8">
        <f>+[8]MTM!$K$45/100</f>
        <v>2.9399999999999999E-2</v>
      </c>
      <c r="H35" s="9">
        <f>+[8]MTM!$O$45</f>
        <v>4198905.0957779996</v>
      </c>
    </row>
    <row r="36" spans="1:10" ht="15.75" hidden="1" outlineLevel="1" thickBot="1" x14ac:dyDescent="0.3">
      <c r="B36" s="10"/>
      <c r="C36" s="11"/>
      <c r="D36" s="11"/>
      <c r="E36" s="12"/>
      <c r="F36" s="12"/>
      <c r="G36" s="12"/>
      <c r="H36" s="13" t="e">
        <f>SUM(H29:H35)</f>
        <v>#REF!</v>
      </c>
    </row>
    <row r="37" spans="1:10" hidden="1" outlineLevel="1" x14ac:dyDescent="0.25"/>
    <row r="38" spans="1:10" hidden="1" outlineLevel="1" x14ac:dyDescent="0.25">
      <c r="A38" t="s">
        <v>7</v>
      </c>
      <c r="H38" s="20" t="e">
        <f>+H36-$H$11</f>
        <v>#REF!</v>
      </c>
      <c r="J38" s="20"/>
    </row>
    <row r="39" spans="1:10" hidden="1" outlineLevel="1" x14ac:dyDescent="0.25">
      <c r="A39" t="s">
        <v>8</v>
      </c>
      <c r="H39" s="20" t="e">
        <f>+H36-H22</f>
        <v>#REF!</v>
      </c>
    </row>
    <row r="40" spans="1:10" hidden="1" outlineLevel="1" x14ac:dyDescent="0.25"/>
    <row r="41" spans="1:10" hidden="1" outlineLevel="1" x14ac:dyDescent="0.25"/>
    <row r="42" spans="1:10" ht="15.75" hidden="1" outlineLevel="1" thickBot="1" x14ac:dyDescent="0.3">
      <c r="A42" t="s">
        <v>0</v>
      </c>
      <c r="B42" s="257">
        <v>44012</v>
      </c>
      <c r="C42" s="258"/>
      <c r="D42" s="258"/>
      <c r="E42" s="258"/>
      <c r="F42" s="258"/>
      <c r="G42" s="258"/>
      <c r="H42" s="259"/>
    </row>
    <row r="43" spans="1:10" ht="30" hidden="1" outlineLevel="1" x14ac:dyDescent="0.25">
      <c r="B43" s="2" t="str">
        <f>+[1]MTM!$E$42</f>
        <v>Date de transaction</v>
      </c>
      <c r="C43" s="3" t="str">
        <f>+[1]MTM!$F$42</f>
        <v>Date de début</v>
      </c>
      <c r="D43" s="3" t="str">
        <f>+[1]MTM!$G$42</f>
        <v>Échéance</v>
      </c>
      <c r="E43" s="3" t="str">
        <f>+[1]MTM!$I$42</f>
        <v>Nominal initial du contrat</v>
      </c>
      <c r="F43" s="3" t="str">
        <f>+[1]MTM!$J$42</f>
        <v>Nominal restant</v>
      </c>
      <c r="G43" s="21" t="str">
        <f>+$G$3</f>
        <v>Taux Swap</v>
      </c>
      <c r="H43" s="4" t="str">
        <f>+[1]MTM!$O$42</f>
        <v>Valeur indicative*</v>
      </c>
    </row>
    <row r="44" spans="1:10" hidden="1" outlineLevel="1" x14ac:dyDescent="0.25">
      <c r="A44" t="s">
        <v>1</v>
      </c>
      <c r="B44" s="5">
        <v>42821</v>
      </c>
      <c r="C44" s="6">
        <v>42821</v>
      </c>
      <c r="D44" s="6">
        <v>44281</v>
      </c>
      <c r="E44" s="7">
        <f>+E29</f>
        <v>766756</v>
      </c>
      <c r="F44" s="7">
        <f>+'[9]Des Pommetriers '!$D$52</f>
        <v>484326.08342378197</v>
      </c>
      <c r="G44" s="8">
        <v>1.49E-2</v>
      </c>
      <c r="H44" s="9"/>
    </row>
    <row r="45" spans="1:10" hidden="1" outlineLevel="1" x14ac:dyDescent="0.25">
      <c r="A45" t="s">
        <v>2</v>
      </c>
      <c r="B45" s="5">
        <v>41061</v>
      </c>
      <c r="C45" s="6">
        <v>43430</v>
      </c>
      <c r="D45" s="6">
        <v>44526</v>
      </c>
      <c r="E45" s="7">
        <f t="shared" ref="E45:E50" si="1">+E30</f>
        <v>16834462</v>
      </c>
      <c r="F45" s="7">
        <v>16076844</v>
      </c>
      <c r="G45" s="8" t="e" cm="1">
        <f t="array" ref="G45">+[6]!TableIRD[Taux/ Rate]/100</f>
        <v>#REF!</v>
      </c>
      <c r="H45" s="9" t="e" cm="1">
        <f t="array" ref="H45">+[10]!TableIRD[Valeur Indicative*/ Indicative Value *]</f>
        <v>#REF!</v>
      </c>
    </row>
    <row r="46" spans="1:10" hidden="1" outlineLevel="1" x14ac:dyDescent="0.25">
      <c r="A46" t="s">
        <v>3</v>
      </c>
      <c r="B46" s="5">
        <v>41514</v>
      </c>
      <c r="C46" s="6">
        <v>43434</v>
      </c>
      <c r="D46" s="6">
        <v>45442</v>
      </c>
      <c r="E46" s="7">
        <f t="shared" si="1"/>
        <v>7172462.8499999996</v>
      </c>
      <c r="F46" s="7">
        <f>+[11]MTM!$J$44</f>
        <v>6447111.8200000003</v>
      </c>
      <c r="G46" s="8">
        <f>+[7]MTM!$K$44/100</f>
        <v>3.4000000000000002E-2</v>
      </c>
      <c r="H46" s="9">
        <f>+[11]MTM!$O$44</f>
        <v>583399.57435899996</v>
      </c>
    </row>
    <row r="47" spans="1:10" hidden="1" outlineLevel="1" x14ac:dyDescent="0.25">
      <c r="A47" t="s">
        <v>3</v>
      </c>
      <c r="B47" s="5">
        <v>41663</v>
      </c>
      <c r="C47" s="6">
        <v>43434</v>
      </c>
      <c r="D47" s="6">
        <v>45442</v>
      </c>
      <c r="E47" s="7">
        <f t="shared" si="1"/>
        <v>4402703.46</v>
      </c>
      <c r="F47" s="7">
        <f>+[11]MTM!$J$45</f>
        <v>3947443.21</v>
      </c>
      <c r="G47" s="8">
        <f>+[7]MTM!$K$45/100</f>
        <v>0.03</v>
      </c>
      <c r="H47" s="9">
        <f>+[11]MTM!$O$45</f>
        <v>304134.14674599998</v>
      </c>
    </row>
    <row r="48" spans="1:10" hidden="1" outlineLevel="1" x14ac:dyDescent="0.25">
      <c r="A48" t="s">
        <v>3</v>
      </c>
      <c r="B48" s="5">
        <v>41716</v>
      </c>
      <c r="C48" s="6">
        <v>41789</v>
      </c>
      <c r="D48" s="6">
        <v>45442</v>
      </c>
      <c r="E48" s="7">
        <f t="shared" si="1"/>
        <v>7912500</v>
      </c>
      <c r="F48" s="7">
        <f>+[11]MTM!$J$46</f>
        <v>5664293.5599999996</v>
      </c>
      <c r="G48" s="8">
        <f>+[7]MTM!$K$46/100</f>
        <v>2.8999999999999998E-2</v>
      </c>
      <c r="H48" s="9">
        <f>+[11]MTM!$O$46</f>
        <v>417479.71102599998</v>
      </c>
    </row>
    <row r="49" spans="1:14" hidden="1" outlineLevel="1" x14ac:dyDescent="0.25">
      <c r="A49" t="s">
        <v>4</v>
      </c>
      <c r="B49" s="5">
        <v>43249</v>
      </c>
      <c r="C49" s="6">
        <v>43430</v>
      </c>
      <c r="D49" s="6">
        <v>45072</v>
      </c>
      <c r="E49" s="7">
        <f t="shared" si="1"/>
        <v>13194518.01</v>
      </c>
      <c r="F49" s="7">
        <f>+[12]MTM!$J$44</f>
        <v>12690936.970000001</v>
      </c>
      <c r="G49" s="8">
        <f>+[8]MTM!$K$44/100</f>
        <v>2.69E-2</v>
      </c>
      <c r="H49" s="9">
        <f>+[12]MTM!$O$44</f>
        <v>741853.46372500004</v>
      </c>
    </row>
    <row r="50" spans="1:14" hidden="1" outlineLevel="1" x14ac:dyDescent="0.25">
      <c r="A50" t="s">
        <v>5</v>
      </c>
      <c r="B50" s="5">
        <v>43249</v>
      </c>
      <c r="C50" s="6">
        <v>43430</v>
      </c>
      <c r="D50" s="6">
        <v>50551</v>
      </c>
      <c r="E50" s="7">
        <f t="shared" si="1"/>
        <v>21557728.260000002</v>
      </c>
      <c r="F50" s="7">
        <f>+[12]MTM!$J$45</f>
        <v>20802554.25</v>
      </c>
      <c r="G50" s="8">
        <f>+[8]MTM!$K$45/100</f>
        <v>2.9399999999999999E-2</v>
      </c>
      <c r="H50" s="9">
        <f>+[12]MTM!$O$45</f>
        <v>4379258.2147519998</v>
      </c>
    </row>
    <row r="51" spans="1:14" ht="15.75" hidden="1" outlineLevel="1" thickBot="1" x14ac:dyDescent="0.3">
      <c r="B51" s="10"/>
      <c r="C51" s="11"/>
      <c r="D51" s="11"/>
      <c r="E51" s="12"/>
      <c r="F51" s="12"/>
      <c r="G51" s="12"/>
      <c r="H51" s="13" t="e">
        <f>SUM(H44:H50)</f>
        <v>#REF!</v>
      </c>
    </row>
    <row r="52" spans="1:14" hidden="1" outlineLevel="1" x14ac:dyDescent="0.25"/>
    <row r="53" spans="1:14" hidden="1" outlineLevel="1" x14ac:dyDescent="0.25">
      <c r="A53" t="s">
        <v>7</v>
      </c>
      <c r="H53" s="20" t="e">
        <f>+H51-$H$11</f>
        <v>#REF!</v>
      </c>
    </row>
    <row r="54" spans="1:14" hidden="1" outlineLevel="1" x14ac:dyDescent="0.25">
      <c r="A54" t="s">
        <v>8</v>
      </c>
      <c r="H54" s="20" t="e">
        <f>+H51-H36</f>
        <v>#REF!</v>
      </c>
    </row>
    <row r="55" spans="1:14" hidden="1" outlineLevel="1" x14ac:dyDescent="0.25"/>
    <row r="56" spans="1:14" ht="15.75" collapsed="1" thickBot="1" x14ac:dyDescent="0.3"/>
    <row r="57" spans="1:14" ht="15.75" thickBot="1" x14ac:dyDescent="0.3">
      <c r="A57" t="s">
        <v>0</v>
      </c>
      <c r="B57" s="257" t="s">
        <v>50</v>
      </c>
      <c r="C57" s="258"/>
      <c r="D57" s="258"/>
      <c r="E57" s="258"/>
      <c r="F57" s="258"/>
      <c r="G57" s="258"/>
      <c r="H57" s="259"/>
    </row>
    <row r="58" spans="1:14" ht="30" x14ac:dyDescent="0.25">
      <c r="A58" s="24" t="s">
        <v>18</v>
      </c>
      <c r="B58" s="26" t="str">
        <f>+[1]MTM!$E$42</f>
        <v>Date de transaction</v>
      </c>
      <c r="C58" s="21" t="str">
        <f>+[1]MTM!$F$42</f>
        <v>Date de début</v>
      </c>
      <c r="D58" s="21" t="str">
        <f>+[1]MTM!$G$42</f>
        <v>Échéance</v>
      </c>
      <c r="E58" s="3" t="str">
        <f>+[1]MTM!$I$42</f>
        <v>Nominal initial du contrat</v>
      </c>
      <c r="F58" s="3" t="str">
        <f>+[1]MTM!$J$42</f>
        <v>Nominal restant</v>
      </c>
      <c r="G58" s="21" t="str">
        <f>+$G$3</f>
        <v>Taux Swap</v>
      </c>
      <c r="H58" s="28" t="str">
        <f>+[1]MTM!$O$42</f>
        <v>Valeur indicative*</v>
      </c>
      <c r="J58" s="21" t="s">
        <v>55</v>
      </c>
      <c r="K58" s="21" t="s">
        <v>15</v>
      </c>
      <c r="L58" s="21" t="s">
        <v>16</v>
      </c>
      <c r="N58" t="s">
        <v>32</v>
      </c>
    </row>
    <row r="59" spans="1:14" x14ac:dyDescent="0.25">
      <c r="A59" s="27"/>
      <c r="B59" s="5"/>
      <c r="C59" s="6"/>
      <c r="D59" s="6"/>
      <c r="E59" s="7"/>
      <c r="F59" s="7"/>
      <c r="G59" s="32"/>
      <c r="H59" s="9"/>
      <c r="J59" s="23"/>
      <c r="K59" s="25"/>
      <c r="L59" s="33"/>
      <c r="N59" s="23"/>
    </row>
    <row r="60" spans="1:14" x14ac:dyDescent="0.25">
      <c r="A60" s="27"/>
      <c r="B60" s="5"/>
      <c r="C60" s="6"/>
      <c r="D60" s="6"/>
      <c r="E60" s="71"/>
      <c r="F60" s="71"/>
      <c r="G60" s="72"/>
      <c r="H60" s="73"/>
      <c r="J60" s="23"/>
      <c r="K60" s="74"/>
      <c r="L60" s="33"/>
      <c r="N60" s="23"/>
    </row>
    <row r="61" spans="1:14" x14ac:dyDescent="0.25">
      <c r="A61" s="27" t="s">
        <v>3</v>
      </c>
      <c r="B61" s="5">
        <v>41514</v>
      </c>
      <c r="C61" s="6">
        <v>43434</v>
      </c>
      <c r="D61" s="49">
        <v>45442</v>
      </c>
      <c r="E61" s="7">
        <f t="shared" ref="E61:E65" si="2">+E46</f>
        <v>7172462.8499999996</v>
      </c>
      <c r="F61" s="7">
        <v>5294740.74</v>
      </c>
      <c r="G61" s="32">
        <f>+[7]MTM!$K$44/100</f>
        <v>3.4000000000000002E-2</v>
      </c>
      <c r="H61" s="9">
        <v>-62307.64</v>
      </c>
      <c r="J61" s="23" t="s">
        <v>14</v>
      </c>
      <c r="K61" s="25" t="s">
        <v>37</v>
      </c>
      <c r="L61" s="48">
        <v>45443</v>
      </c>
      <c r="M61" t="s">
        <v>21</v>
      </c>
      <c r="N61" s="23" t="s">
        <v>29</v>
      </c>
    </row>
    <row r="62" spans="1:14" x14ac:dyDescent="0.25">
      <c r="A62" s="27" t="s">
        <v>3</v>
      </c>
      <c r="B62" s="5">
        <v>41663</v>
      </c>
      <c r="C62" s="6">
        <v>43434</v>
      </c>
      <c r="D62" s="49">
        <v>45442</v>
      </c>
      <c r="E62" s="7">
        <f t="shared" si="2"/>
        <v>4402703.46</v>
      </c>
      <c r="F62" s="7">
        <v>3229653.23</v>
      </c>
      <c r="G62" s="32">
        <f>+[7]MTM!$K$45/100</f>
        <v>0.03</v>
      </c>
      <c r="H62" s="9">
        <v>-57046.36</v>
      </c>
      <c r="J62" s="23" t="s">
        <v>14</v>
      </c>
      <c r="K62" s="25" t="str">
        <f>+K61</f>
        <v>20 mois</v>
      </c>
      <c r="L62" s="48">
        <f>+L61</f>
        <v>45443</v>
      </c>
      <c r="M62" t="s">
        <v>21</v>
      </c>
      <c r="N62" s="23" t="s">
        <v>29</v>
      </c>
    </row>
    <row r="63" spans="1:14" x14ac:dyDescent="0.25">
      <c r="A63" s="27" t="s">
        <v>3</v>
      </c>
      <c r="B63" s="5">
        <v>41716</v>
      </c>
      <c r="C63" s="6">
        <v>41789</v>
      </c>
      <c r="D63" s="49">
        <v>45442</v>
      </c>
      <c r="E63" s="7">
        <f t="shared" si="2"/>
        <v>7912500</v>
      </c>
      <c r="F63" s="7">
        <v>4629570.2300000004</v>
      </c>
      <c r="G63" s="32">
        <f>+[7]MTM!$K$46/100</f>
        <v>2.8999999999999998E-2</v>
      </c>
      <c r="H63" s="9">
        <v>-88598.53</v>
      </c>
      <c r="J63" s="23" t="s">
        <v>14</v>
      </c>
      <c r="K63" s="25" t="str">
        <f>+K61</f>
        <v>20 mois</v>
      </c>
      <c r="L63" s="48">
        <f>+L62</f>
        <v>45443</v>
      </c>
      <c r="M63" t="s">
        <v>21</v>
      </c>
      <c r="N63" s="23" t="s">
        <v>29</v>
      </c>
    </row>
    <row r="64" spans="1:14" x14ac:dyDescent="0.25">
      <c r="A64" s="27" t="s">
        <v>4</v>
      </c>
      <c r="B64" s="5">
        <v>43249</v>
      </c>
      <c r="C64" s="6">
        <v>43430</v>
      </c>
      <c r="D64" s="50">
        <v>45072</v>
      </c>
      <c r="E64" s="7">
        <f t="shared" si="2"/>
        <v>13194518.01</v>
      </c>
      <c r="F64" s="7">
        <v>11914297.369999999</v>
      </c>
      <c r="G64" s="32">
        <f>+[8]MTM!$K$44/100</f>
        <v>2.69E-2</v>
      </c>
      <c r="H64" s="9">
        <v>-118576.34</v>
      </c>
      <c r="J64" s="23" t="s">
        <v>36</v>
      </c>
      <c r="K64" s="25" t="s">
        <v>53</v>
      </c>
      <c r="L64" s="51">
        <v>45281</v>
      </c>
      <c r="M64" t="s">
        <v>24</v>
      </c>
      <c r="N64" s="23" t="s">
        <v>31</v>
      </c>
    </row>
    <row r="65" spans="1:14" x14ac:dyDescent="0.25">
      <c r="A65" s="27" t="s">
        <v>5</v>
      </c>
      <c r="B65" s="5">
        <v>43249</v>
      </c>
      <c r="C65" s="6">
        <v>43430</v>
      </c>
      <c r="D65" s="50">
        <v>50551</v>
      </c>
      <c r="E65" s="7">
        <f t="shared" si="2"/>
        <v>21557728.260000002</v>
      </c>
      <c r="F65" s="7">
        <v>19624823.02</v>
      </c>
      <c r="G65" s="32">
        <f>+[8]MTM!$K$45/100</f>
        <v>2.9399999999999999E-2</v>
      </c>
      <c r="H65" s="9">
        <v>-1332883.83</v>
      </c>
      <c r="J65" s="23" t="s">
        <v>36</v>
      </c>
      <c r="K65" s="25" t="s">
        <v>54</v>
      </c>
      <c r="L65" s="51">
        <v>45281</v>
      </c>
      <c r="M65" t="s">
        <v>24</v>
      </c>
      <c r="N65" s="23" t="s">
        <v>31</v>
      </c>
    </row>
    <row r="66" spans="1:14" x14ac:dyDescent="0.25">
      <c r="A66" s="27" t="s">
        <v>51</v>
      </c>
      <c r="B66" s="58" t="s">
        <v>52</v>
      </c>
      <c r="C66" s="6">
        <v>44620</v>
      </c>
      <c r="D66" s="50">
        <v>48270</v>
      </c>
      <c r="E66" s="7">
        <v>24700000</v>
      </c>
      <c r="F66" s="7">
        <v>24383281.190000001</v>
      </c>
      <c r="G66" s="59">
        <v>2.5325E-2</v>
      </c>
      <c r="H66" s="9">
        <v>-1908786.6</v>
      </c>
      <c r="J66" s="23"/>
      <c r="K66" s="25" t="s">
        <v>58</v>
      </c>
      <c r="L66" s="51">
        <f>+L65</f>
        <v>45281</v>
      </c>
      <c r="M66" t="s">
        <v>24</v>
      </c>
      <c r="N66" s="23" t="s">
        <v>31</v>
      </c>
    </row>
    <row r="67" spans="1:14" x14ac:dyDescent="0.25">
      <c r="A67" s="27" t="s">
        <v>51</v>
      </c>
      <c r="B67" s="58" t="str">
        <f>+B66</f>
        <v>2022--02-16</v>
      </c>
      <c r="C67" s="6">
        <f>+C66</f>
        <v>44620</v>
      </c>
      <c r="D67" s="50">
        <v>46444</v>
      </c>
      <c r="E67" s="7">
        <v>10000000</v>
      </c>
      <c r="F67" s="7">
        <v>9890994</v>
      </c>
      <c r="G67" s="32">
        <v>2.3599999999999999E-2</v>
      </c>
      <c r="H67" s="9" t="s">
        <v>57</v>
      </c>
      <c r="J67" s="23"/>
      <c r="K67" s="25" t="s">
        <v>59</v>
      </c>
      <c r="L67" s="51">
        <f>+L66</f>
        <v>45281</v>
      </c>
      <c r="M67" t="s">
        <v>24</v>
      </c>
      <c r="N67" s="23" t="s">
        <v>31</v>
      </c>
    </row>
    <row r="68" spans="1:14" x14ac:dyDescent="0.25">
      <c r="A68" s="27" t="s">
        <v>51</v>
      </c>
      <c r="B68" s="58" t="str">
        <f>+B66</f>
        <v>2022--02-16</v>
      </c>
      <c r="C68" s="6">
        <f>+C66</f>
        <v>44620</v>
      </c>
      <c r="D68" s="50">
        <v>50097</v>
      </c>
      <c r="E68" s="7">
        <v>10000000</v>
      </c>
      <c r="F68" s="7">
        <v>9894763</v>
      </c>
      <c r="G68" s="32">
        <v>2.6030000000000001E-2</v>
      </c>
      <c r="H68" s="9" t="s">
        <v>57</v>
      </c>
      <c r="J68" s="23"/>
      <c r="K68" s="25" t="s">
        <v>60</v>
      </c>
      <c r="L68" s="51">
        <f>+L67</f>
        <v>45281</v>
      </c>
      <c r="M68" t="s">
        <v>24</v>
      </c>
      <c r="N68" s="23" t="s">
        <v>40</v>
      </c>
    </row>
    <row r="69" spans="1:14" x14ac:dyDescent="0.25">
      <c r="A69" s="76" t="s">
        <v>2</v>
      </c>
      <c r="B69" s="77">
        <v>44895</v>
      </c>
      <c r="C69" s="78">
        <v>48547</v>
      </c>
      <c r="D69" s="78">
        <v>44891</v>
      </c>
      <c r="E69" s="79">
        <v>5000000</v>
      </c>
      <c r="F69" s="79">
        <f>+E69</f>
        <v>5000000</v>
      </c>
      <c r="G69" s="80">
        <v>1.7999999999999999E-2</v>
      </c>
      <c r="H69" s="81"/>
      <c r="I69" s="82"/>
      <c r="J69" s="83" t="s">
        <v>63</v>
      </c>
      <c r="K69" s="84" t="s">
        <v>67</v>
      </c>
      <c r="L69" s="85">
        <v>48547</v>
      </c>
      <c r="M69" s="82" t="s">
        <v>21</v>
      </c>
      <c r="N69" s="83" t="s">
        <v>28</v>
      </c>
    </row>
    <row r="70" spans="1:14" ht="15.75" thickBot="1" x14ac:dyDescent="0.3">
      <c r="A70" s="76" t="s">
        <v>2</v>
      </c>
      <c r="B70" s="77">
        <v>44895</v>
      </c>
      <c r="C70" s="78">
        <v>48547</v>
      </c>
      <c r="D70" s="78">
        <v>44891</v>
      </c>
      <c r="E70" s="79">
        <v>9644992</v>
      </c>
      <c r="F70" s="79">
        <f>+E70</f>
        <v>9644992</v>
      </c>
      <c r="G70" s="80">
        <v>1.7999999999999999E-2</v>
      </c>
      <c r="H70" s="81"/>
      <c r="I70" s="82"/>
      <c r="J70" s="83" t="s">
        <v>63</v>
      </c>
      <c r="K70" s="84" t="s">
        <v>67</v>
      </c>
      <c r="L70" s="85">
        <v>48547</v>
      </c>
      <c r="M70" s="82" t="s">
        <v>21</v>
      </c>
      <c r="N70" s="83" t="s">
        <v>28</v>
      </c>
    </row>
    <row r="71" spans="1:14" ht="15.75" thickBot="1" x14ac:dyDescent="0.3">
      <c r="B71" s="36"/>
      <c r="C71" s="37"/>
      <c r="D71" s="37"/>
      <c r="E71" s="38">
        <f>SUM(E59:E70)</f>
        <v>113584904.58</v>
      </c>
      <c r="F71" s="38">
        <f>SUM(F59:F70)</f>
        <v>103507114.78</v>
      </c>
      <c r="G71" s="37"/>
      <c r="H71" s="39"/>
      <c r="L71" s="23"/>
      <c r="N71" s="23"/>
    </row>
    <row r="72" spans="1:14" ht="15.75" thickBot="1" x14ac:dyDescent="0.3">
      <c r="B72" s="2"/>
      <c r="E72" s="20"/>
      <c r="F72" s="56">
        <f>+F71/F81</f>
        <v>0.7333122962126436</v>
      </c>
      <c r="H72" s="40"/>
      <c r="L72" s="23"/>
      <c r="N72" s="23"/>
    </row>
    <row r="73" spans="1:14" ht="33.75" customHeight="1" x14ac:dyDescent="0.25">
      <c r="A73" s="24" t="s">
        <v>19</v>
      </c>
      <c r="B73" s="2"/>
      <c r="E73" s="23" t="s">
        <v>39</v>
      </c>
      <c r="F73" s="23" t="s">
        <v>25</v>
      </c>
      <c r="G73" s="260" t="s">
        <v>64</v>
      </c>
      <c r="H73" s="261"/>
      <c r="L73" s="23"/>
      <c r="N73" s="23"/>
    </row>
    <row r="74" spans="1:14" x14ac:dyDescent="0.25">
      <c r="A74" s="27" t="s">
        <v>17</v>
      </c>
      <c r="B74" s="2"/>
      <c r="C74" s="262">
        <v>35000000</v>
      </c>
      <c r="D74" s="6"/>
      <c r="E74" s="42"/>
      <c r="F74" s="42">
        <v>7700000</v>
      </c>
      <c r="G74" s="263" t="s">
        <v>65</v>
      </c>
      <c r="H74" s="264"/>
      <c r="K74" s="23" t="s">
        <v>26</v>
      </c>
      <c r="L74" s="33">
        <v>45281</v>
      </c>
      <c r="M74" t="s">
        <v>24</v>
      </c>
      <c r="N74" s="23" t="s">
        <v>61</v>
      </c>
    </row>
    <row r="75" spans="1:14" x14ac:dyDescent="0.25">
      <c r="A75" s="27" t="s">
        <v>17</v>
      </c>
      <c r="B75" s="2"/>
      <c r="C75" s="262"/>
      <c r="D75" s="6"/>
      <c r="E75" s="42"/>
      <c r="F75" s="42">
        <v>20835000</v>
      </c>
      <c r="G75" s="263" t="s">
        <v>65</v>
      </c>
      <c r="H75" s="264"/>
      <c r="K75" s="23" t="s">
        <v>26</v>
      </c>
      <c r="L75" s="33">
        <v>45281</v>
      </c>
      <c r="M75" t="s">
        <v>24</v>
      </c>
      <c r="N75" s="23" t="s">
        <v>61</v>
      </c>
    </row>
    <row r="76" spans="1:14" x14ac:dyDescent="0.25">
      <c r="A76" s="27" t="s">
        <v>20</v>
      </c>
      <c r="B76" s="5">
        <v>43374</v>
      </c>
      <c r="C76" s="42"/>
      <c r="D76" s="6"/>
      <c r="E76" s="42">
        <v>10800000</v>
      </c>
      <c r="F76" s="42">
        <v>9108000</v>
      </c>
      <c r="G76" s="70">
        <v>2.2499999999999999E-2</v>
      </c>
      <c r="H76" s="40"/>
      <c r="K76" s="23" t="s">
        <v>26</v>
      </c>
      <c r="L76" s="33">
        <v>45281</v>
      </c>
      <c r="M76" t="s">
        <v>24</v>
      </c>
      <c r="N76" s="23" t="s">
        <v>31</v>
      </c>
    </row>
    <row r="77" spans="1:14" x14ac:dyDescent="0.25">
      <c r="A77" s="76" t="s">
        <v>2</v>
      </c>
      <c r="B77" s="77">
        <v>44486</v>
      </c>
      <c r="C77" s="78">
        <v>44526</v>
      </c>
      <c r="D77" s="78">
        <v>44891</v>
      </c>
      <c r="E77" s="79"/>
      <c r="F77" s="79"/>
      <c r="G77" s="80"/>
      <c r="H77" s="81"/>
      <c r="I77" s="82"/>
      <c r="J77" s="83" t="s">
        <v>63</v>
      </c>
      <c r="K77" s="84"/>
      <c r="L77" s="85"/>
      <c r="M77" s="82"/>
      <c r="N77" s="83" t="s">
        <v>28</v>
      </c>
    </row>
    <row r="78" spans="1:14" x14ac:dyDescent="0.25">
      <c r="A78" s="27"/>
      <c r="B78" s="5"/>
      <c r="C78" s="42"/>
      <c r="E78" s="42"/>
      <c r="F78" s="42"/>
      <c r="H78" s="40"/>
      <c r="K78" s="23"/>
      <c r="L78" s="33"/>
      <c r="N78" s="23"/>
    </row>
    <row r="79" spans="1:14" ht="15.75" thickBot="1" x14ac:dyDescent="0.3">
      <c r="B79" s="43"/>
      <c r="C79" s="34"/>
      <c r="D79" s="34"/>
      <c r="E79" s="35">
        <f>SUM(E74:E78)</f>
        <v>10800000</v>
      </c>
      <c r="F79" s="35">
        <f>SUM(F74:F78)</f>
        <v>37643000</v>
      </c>
      <c r="G79" s="34"/>
      <c r="H79" s="44"/>
      <c r="L79" s="23"/>
    </row>
    <row r="80" spans="1:14" ht="15.75" thickBot="1" x14ac:dyDescent="0.3">
      <c r="B80" s="2"/>
      <c r="F80" s="56">
        <f>+F79/F81</f>
        <v>0.2666877037873564</v>
      </c>
      <c r="H80" s="40"/>
      <c r="L80" s="23"/>
    </row>
    <row r="81" spans="1:8" ht="15.75" thickBot="1" x14ac:dyDescent="0.3">
      <c r="A81" s="29" t="s">
        <v>23</v>
      </c>
      <c r="B81" s="45"/>
      <c r="C81" s="30"/>
      <c r="D81" s="30"/>
      <c r="E81" s="31">
        <f>+E71+E79</f>
        <v>124384904.58</v>
      </c>
      <c r="F81" s="57">
        <f>+F71+F79</f>
        <v>141150114.78</v>
      </c>
      <c r="G81" s="30"/>
      <c r="H81" s="46"/>
    </row>
    <row r="82" spans="1:8" ht="15.75" thickTop="1" x14ac:dyDescent="0.25">
      <c r="B82" s="2"/>
      <c r="H82" s="40"/>
    </row>
    <row r="83" spans="1:8" ht="15.75" thickBot="1" x14ac:dyDescent="0.3">
      <c r="B83" s="10"/>
      <c r="C83" s="11"/>
      <c r="D83" s="11"/>
      <c r="E83" s="11"/>
      <c r="F83" s="11"/>
      <c r="G83" s="11"/>
      <c r="H83" s="47"/>
    </row>
    <row r="85" spans="1:8" x14ac:dyDescent="0.25">
      <c r="A85" s="53" t="s">
        <v>42</v>
      </c>
      <c r="B85" s="54"/>
    </row>
    <row r="86" spans="1:8" x14ac:dyDescent="0.25">
      <c r="A86" s="52" t="s">
        <v>43</v>
      </c>
      <c r="B86" s="55"/>
    </row>
    <row r="87" spans="1:8" x14ac:dyDescent="0.25">
      <c r="B87" s="22"/>
    </row>
    <row r="88" spans="1:8" x14ac:dyDescent="0.25">
      <c r="A88" t="s">
        <v>56</v>
      </c>
      <c r="B88" s="75">
        <f>+F72</f>
        <v>0.7333122962126436</v>
      </c>
      <c r="C88" t="s">
        <v>66</v>
      </c>
    </row>
    <row r="89" spans="1:8" x14ac:dyDescent="0.25">
      <c r="B89" s="22"/>
    </row>
    <row r="90" spans="1:8" x14ac:dyDescent="0.25">
      <c r="A90" t="s">
        <v>62</v>
      </c>
    </row>
    <row r="91" spans="1:8" x14ac:dyDescent="0.25">
      <c r="B91" s="22"/>
    </row>
  </sheetData>
  <mergeCells count="9">
    <mergeCell ref="C74:C75"/>
    <mergeCell ref="G74:H74"/>
    <mergeCell ref="G75:H75"/>
    <mergeCell ref="B2:H2"/>
    <mergeCell ref="B13:H13"/>
    <mergeCell ref="B27:H27"/>
    <mergeCell ref="B42:H42"/>
    <mergeCell ref="B57:H57"/>
    <mergeCell ref="G73:H73"/>
  </mergeCells>
  <pageMargins left="0.70866141732283472" right="0.70866141732283472" top="0.74803149606299213" bottom="0.74803149606299213" header="0.31496062992125984" footer="0.31496062992125984"/>
  <pageSetup scale="57" orientation="landscape" r:id="rId1"/>
  <headerFooter>
    <oddFooter>&amp;L&amp;Z
&amp;F&amp;C&amp;A&amp;R&amp;D
&amp;T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F6241-C630-4CF0-AC7D-46619B90C34A}">
  <dimension ref="A1:N90"/>
  <sheetViews>
    <sheetView zoomScaleNormal="100" workbookViewId="0">
      <selection activeCell="G87" sqref="G87"/>
    </sheetView>
  </sheetViews>
  <sheetFormatPr baseColWidth="10" defaultColWidth="11.5703125" defaultRowHeight="15" outlineLevelRow="1" x14ac:dyDescent="0.25"/>
  <cols>
    <col min="1" max="1" width="28.28515625" customWidth="1"/>
    <col min="2" max="2" width="12.42578125" customWidth="1"/>
    <col min="3" max="3" width="13.7109375" bestFit="1" customWidth="1"/>
    <col min="5" max="6" width="15.28515625" bestFit="1" customWidth="1"/>
    <col min="7" max="7" width="14.5703125" customWidth="1"/>
    <col min="8" max="8" width="12.5703125" bestFit="1" customWidth="1"/>
    <col min="9" max="9" width="3.28515625" customWidth="1"/>
    <col min="10" max="10" width="15.28515625" bestFit="1" customWidth="1"/>
    <col min="11" max="11" width="18.140625" customWidth="1"/>
    <col min="13" max="13" width="24.7109375" customWidth="1"/>
  </cols>
  <sheetData>
    <row r="1" spans="1:11" x14ac:dyDescent="0.25">
      <c r="A1" t="s">
        <v>9</v>
      </c>
    </row>
    <row r="2" spans="1:11" ht="31.15" hidden="1" customHeight="1" outlineLevel="1" thickBot="1" x14ac:dyDescent="0.3">
      <c r="A2" t="s">
        <v>0</v>
      </c>
      <c r="B2" s="257">
        <v>43830</v>
      </c>
      <c r="C2" s="258"/>
      <c r="D2" s="258"/>
      <c r="E2" s="258"/>
      <c r="F2" s="258"/>
      <c r="G2" s="258"/>
      <c r="H2" s="259"/>
      <c r="J2" s="14">
        <v>43465</v>
      </c>
      <c r="K2" s="19" t="s">
        <v>6</v>
      </c>
    </row>
    <row r="3" spans="1:11" ht="30" hidden="1" outlineLevel="1" x14ac:dyDescent="0.25">
      <c r="B3" s="2" t="str">
        <f>+[1]MTM!$E$42</f>
        <v>Date de transaction</v>
      </c>
      <c r="C3" s="3" t="str">
        <f>+[1]MTM!$F$42</f>
        <v>Date de début</v>
      </c>
      <c r="D3" s="3" t="str">
        <f>+[1]MTM!$G$42</f>
        <v>Échéance</v>
      </c>
      <c r="E3" s="3" t="str">
        <f>+[1]MTM!$I$42</f>
        <v>Nominal initial du contrat</v>
      </c>
      <c r="F3" s="3" t="str">
        <f>+[1]MTM!$J$42</f>
        <v>Nominal restant</v>
      </c>
      <c r="G3" s="21" t="s">
        <v>10</v>
      </c>
      <c r="H3" s="4" t="str">
        <f>+[1]MTM!$O$42</f>
        <v>Valeur indicative*</v>
      </c>
      <c r="J3" s="15" t="str">
        <f>+[1]MTM!$O$42</f>
        <v>Valeur indicative*</v>
      </c>
    </row>
    <row r="4" spans="1:11" hidden="1" outlineLevel="1" x14ac:dyDescent="0.25">
      <c r="A4" t="s">
        <v>1</v>
      </c>
      <c r="B4" s="5">
        <v>42821</v>
      </c>
      <c r="C4" s="6">
        <v>42821</v>
      </c>
      <c r="D4" s="6">
        <v>44281</v>
      </c>
      <c r="E4" s="7">
        <v>766756</v>
      </c>
      <c r="F4" s="7">
        <v>530199</v>
      </c>
      <c r="G4" s="8" t="e">
        <f>+[1]!TableIRD[Taux/ Rate]/100</f>
        <v>#REF!</v>
      </c>
      <c r="H4" s="9" t="e">
        <f>+[1]!TableIRD[Valeur Indicative*/ Indicative Value *]</f>
        <v>#REF!</v>
      </c>
      <c r="J4" s="16">
        <v>-8124.27</v>
      </c>
      <c r="K4">
        <v>4213</v>
      </c>
    </row>
    <row r="5" spans="1:11" hidden="1" outlineLevel="1" x14ac:dyDescent="0.25">
      <c r="A5" t="s">
        <v>2</v>
      </c>
      <c r="B5" s="5">
        <v>41061</v>
      </c>
      <c r="C5" s="6">
        <v>43430</v>
      </c>
      <c r="D5" s="6">
        <v>44526</v>
      </c>
      <c r="E5" s="7">
        <v>16834462</v>
      </c>
      <c r="F5" s="7">
        <v>16322594</v>
      </c>
      <c r="G5" s="8" t="e">
        <f>+[2]!TableIRD[Taux/ Rate]/100</f>
        <v>#REF!</v>
      </c>
      <c r="H5" s="9" t="e">
        <f>+[2]!TableIRD[Valeur Indicative*/ Indicative Value *]</f>
        <v>#REF!</v>
      </c>
      <c r="J5" s="16">
        <v>25939.91</v>
      </c>
    </row>
    <row r="6" spans="1:11" hidden="1" outlineLevel="1" x14ac:dyDescent="0.25">
      <c r="A6" t="s">
        <v>3</v>
      </c>
      <c r="B6" s="5">
        <v>41514</v>
      </c>
      <c r="C6" s="6">
        <v>43434</v>
      </c>
      <c r="D6" s="6">
        <v>45442</v>
      </c>
      <c r="E6" s="7">
        <f>+[3]MTM!I44</f>
        <v>7172462.8499999996</v>
      </c>
      <c r="F6" s="7">
        <f>+[3]MTM!J44</f>
        <v>6682927.7000000002</v>
      </c>
      <c r="G6" s="8">
        <f>+[3]MTM!K44/100</f>
        <v>3.4000000000000002E-2</v>
      </c>
      <c r="H6" s="9">
        <f>+[3]MTM!O44</f>
        <v>332057.47367899999</v>
      </c>
      <c r="J6" s="16">
        <v>348277.56</v>
      </c>
    </row>
    <row r="7" spans="1:11" hidden="1" outlineLevel="1" x14ac:dyDescent="0.25">
      <c r="A7" t="s">
        <v>3</v>
      </c>
      <c r="B7" s="5">
        <v>41663</v>
      </c>
      <c r="C7" s="6">
        <v>43434</v>
      </c>
      <c r="D7" s="6">
        <v>45442</v>
      </c>
      <c r="E7" s="7">
        <f>+[3]MTM!I45</f>
        <v>4402703.46</v>
      </c>
      <c r="F7" s="7">
        <f>+[3]MTM!J45</f>
        <v>4095167.49</v>
      </c>
      <c r="G7" s="8">
        <f>+[3]MTM!K45/100</f>
        <v>0.03</v>
      </c>
      <c r="H7" s="9">
        <f>+[3]MTM!O45</f>
        <v>144551.142414</v>
      </c>
      <c r="J7" s="16">
        <v>139218.39000000001</v>
      </c>
    </row>
    <row r="8" spans="1:11" hidden="1" outlineLevel="1" x14ac:dyDescent="0.25">
      <c r="A8" t="s">
        <v>3</v>
      </c>
      <c r="B8" s="5">
        <v>41716</v>
      </c>
      <c r="C8" s="6">
        <v>41789</v>
      </c>
      <c r="D8" s="6">
        <v>45442</v>
      </c>
      <c r="E8" s="7">
        <f>+[3]MTM!I46</f>
        <v>7912500</v>
      </c>
      <c r="F8" s="7">
        <f>+[3]MTM!J46</f>
        <v>5878403.1799999997</v>
      </c>
      <c r="G8" s="8">
        <f>+[3]MTM!K46/100</f>
        <v>2.8999999999999998E-2</v>
      </c>
      <c r="H8" s="9">
        <f>+[3]MTM!O46</f>
        <v>186249.01923800001</v>
      </c>
      <c r="J8" s="16">
        <v>173283.54</v>
      </c>
    </row>
    <row r="9" spans="1:11" hidden="1" outlineLevel="1" x14ac:dyDescent="0.25">
      <c r="A9" t="s">
        <v>4</v>
      </c>
      <c r="B9" s="5">
        <v>43249</v>
      </c>
      <c r="C9" s="6">
        <v>43430</v>
      </c>
      <c r="D9" s="6">
        <v>45072</v>
      </c>
      <c r="E9" s="7">
        <f>+[4]MTM!I44</f>
        <v>13194518.01</v>
      </c>
      <c r="F9" s="7">
        <f>+[4]MTM!J44</f>
        <v>12854500.210000001</v>
      </c>
      <c r="G9" s="8">
        <f>+[4]MTM!K44/100</f>
        <v>2.69E-2</v>
      </c>
      <c r="H9" s="9">
        <f>+[4]MTM!O44</f>
        <v>283708.78010899998</v>
      </c>
      <c r="J9" s="16">
        <v>247739.76</v>
      </c>
    </row>
    <row r="10" spans="1:11" hidden="1" outlineLevel="1" x14ac:dyDescent="0.25">
      <c r="A10" t="s">
        <v>5</v>
      </c>
      <c r="B10" s="5">
        <v>43249</v>
      </c>
      <c r="C10" s="6">
        <v>43430</v>
      </c>
      <c r="D10" s="6">
        <v>50551</v>
      </c>
      <c r="E10" s="7">
        <f>+[4]MTM!I45</f>
        <v>21557728.260000002</v>
      </c>
      <c r="F10" s="7">
        <f>+[4]MTM!J45</f>
        <v>21048899.620000001</v>
      </c>
      <c r="G10" s="8">
        <f>+[4]MTM!K45/100</f>
        <v>2.9399999999999999E-2</v>
      </c>
      <c r="H10" s="9">
        <f>+[4]MTM!O45</f>
        <v>1687701.4754550001</v>
      </c>
      <c r="J10" s="16">
        <v>943238.22</v>
      </c>
    </row>
    <row r="11" spans="1:11" ht="15.75" hidden="1" outlineLevel="1" thickBot="1" x14ac:dyDescent="0.3">
      <c r="B11" s="10"/>
      <c r="C11" s="11"/>
      <c r="D11" s="11"/>
      <c r="E11" s="12"/>
      <c r="F11" s="12"/>
      <c r="G11" s="12"/>
      <c r="H11" s="13" t="e">
        <f>SUM(H4:H10)</f>
        <v>#REF!</v>
      </c>
      <c r="J11" s="17">
        <f>SUM(J4:J10)</f>
        <v>1869573.1099999999</v>
      </c>
    </row>
    <row r="12" spans="1:11" ht="15.75" hidden="1" outlineLevel="1" thickBot="1" x14ac:dyDescent="0.3">
      <c r="E12" s="1"/>
      <c r="F12" s="1"/>
      <c r="G12" s="1"/>
      <c r="H12" s="1"/>
    </row>
    <row r="13" spans="1:11" ht="15.75" hidden="1" outlineLevel="1" thickBot="1" x14ac:dyDescent="0.3">
      <c r="A13" t="s">
        <v>0</v>
      </c>
      <c r="B13" s="257">
        <v>43906</v>
      </c>
      <c r="C13" s="258"/>
      <c r="D13" s="258"/>
      <c r="E13" s="258"/>
      <c r="F13" s="258"/>
      <c r="G13" s="258"/>
      <c r="H13" s="259"/>
    </row>
    <row r="14" spans="1:11" ht="30" hidden="1" outlineLevel="1" x14ac:dyDescent="0.25">
      <c r="B14" s="2" t="str">
        <f>+[1]MTM!$E$42</f>
        <v>Date de transaction</v>
      </c>
      <c r="C14" s="3" t="str">
        <f>+[1]MTM!$F$42</f>
        <v>Date de début</v>
      </c>
      <c r="D14" s="3" t="str">
        <f>+[1]MTM!$G$42</f>
        <v>Échéance</v>
      </c>
      <c r="E14" s="3" t="str">
        <f>+[1]MTM!$I$42</f>
        <v>Nominal initial du contrat</v>
      </c>
      <c r="F14" s="3" t="str">
        <f>+[1]MTM!$J$42</f>
        <v>Nominal restant</v>
      </c>
      <c r="G14" s="21" t="str">
        <f>+$G$3</f>
        <v>Taux Swap</v>
      </c>
      <c r="H14" s="4" t="str">
        <f>+[1]MTM!$O$42</f>
        <v>Valeur indicative*</v>
      </c>
    </row>
    <row r="15" spans="1:11" hidden="1" outlineLevel="1" x14ac:dyDescent="0.25">
      <c r="A15" t="s">
        <v>1</v>
      </c>
      <c r="B15" s="5">
        <v>42821</v>
      </c>
      <c r="C15" s="6">
        <v>42821</v>
      </c>
      <c r="D15" s="6">
        <v>44281</v>
      </c>
      <c r="E15" s="7">
        <f>+E4</f>
        <v>766756</v>
      </c>
      <c r="F15" s="7">
        <v>515028</v>
      </c>
      <c r="G15" s="8">
        <v>1.49E-2</v>
      </c>
      <c r="H15" s="9">
        <v>4213</v>
      </c>
      <c r="J15" s="20"/>
    </row>
    <row r="16" spans="1:11" hidden="1" outlineLevel="1" x14ac:dyDescent="0.25">
      <c r="A16" t="s">
        <v>2</v>
      </c>
      <c r="B16" s="5">
        <v>41061</v>
      </c>
      <c r="C16" s="6">
        <v>43430</v>
      </c>
      <c r="D16" s="6">
        <v>44526</v>
      </c>
      <c r="E16" s="7">
        <f t="shared" ref="E16:E21" si="0">+E5</f>
        <v>16834462</v>
      </c>
      <c r="F16" s="7">
        <v>16241895</v>
      </c>
      <c r="G16" s="8">
        <v>2.2499999999999999E-2</v>
      </c>
      <c r="H16" s="9">
        <v>438758</v>
      </c>
    </row>
    <row r="17" spans="1:12" hidden="1" outlineLevel="1" x14ac:dyDescent="0.25">
      <c r="A17" t="s">
        <v>3</v>
      </c>
      <c r="B17" s="5">
        <v>41514</v>
      </c>
      <c r="C17" s="6">
        <v>43434</v>
      </c>
      <c r="D17" s="6">
        <v>45442</v>
      </c>
      <c r="E17" s="7">
        <f t="shared" si="0"/>
        <v>7172462.8499999996</v>
      </c>
      <c r="F17" s="7">
        <v>6604038</v>
      </c>
      <c r="G17" s="8">
        <v>3.4000000000000002E-2</v>
      </c>
      <c r="H17" s="9">
        <v>593380</v>
      </c>
    </row>
    <row r="18" spans="1:12" hidden="1" outlineLevel="1" x14ac:dyDescent="0.25">
      <c r="A18" t="s">
        <v>3</v>
      </c>
      <c r="B18" s="5">
        <v>41663</v>
      </c>
      <c r="C18" s="6">
        <v>43434</v>
      </c>
      <c r="D18" s="6">
        <v>45442</v>
      </c>
      <c r="E18" s="7">
        <f t="shared" si="0"/>
        <v>4402703.46</v>
      </c>
      <c r="F18" s="7">
        <v>4045774</v>
      </c>
      <c r="G18" s="8">
        <v>0.03</v>
      </c>
      <c r="H18" s="9">
        <v>305037</v>
      </c>
    </row>
    <row r="19" spans="1:12" hidden="1" outlineLevel="1" x14ac:dyDescent="0.25">
      <c r="A19" t="s">
        <v>3</v>
      </c>
      <c r="B19" s="5">
        <v>41716</v>
      </c>
      <c r="C19" s="6">
        <v>41789</v>
      </c>
      <c r="D19" s="6">
        <v>45442</v>
      </c>
      <c r="E19" s="7">
        <f t="shared" si="0"/>
        <v>7912500</v>
      </c>
      <c r="F19" s="7">
        <v>5806253</v>
      </c>
      <c r="G19" s="8">
        <v>2.9000000000000001E-2</v>
      </c>
      <c r="H19" s="9">
        <v>416842</v>
      </c>
    </row>
    <row r="20" spans="1:12" hidden="1" outlineLevel="1" x14ac:dyDescent="0.25">
      <c r="A20" t="s">
        <v>4</v>
      </c>
      <c r="B20" s="5">
        <v>43249</v>
      </c>
      <c r="C20" s="6">
        <v>43430</v>
      </c>
      <c r="D20" s="6">
        <v>45072</v>
      </c>
      <c r="E20" s="7">
        <f t="shared" si="0"/>
        <v>13194518.01</v>
      </c>
      <c r="F20" s="7">
        <v>12800855</v>
      </c>
      <c r="G20" s="8">
        <v>2.69E-2</v>
      </c>
      <c r="H20" s="9">
        <v>742735</v>
      </c>
      <c r="I20" s="18"/>
      <c r="J20" s="18"/>
      <c r="K20" s="18"/>
      <c r="L20" s="18"/>
    </row>
    <row r="21" spans="1:12" hidden="1" outlineLevel="1" x14ac:dyDescent="0.25">
      <c r="A21" t="s">
        <v>5</v>
      </c>
      <c r="B21" s="5">
        <v>43249</v>
      </c>
      <c r="C21" s="6">
        <v>43430</v>
      </c>
      <c r="D21" s="6">
        <v>50551</v>
      </c>
      <c r="E21" s="7">
        <f t="shared" si="0"/>
        <v>21557728.260000002</v>
      </c>
      <c r="F21" s="7">
        <v>20968416</v>
      </c>
      <c r="G21" s="8">
        <v>2.9399999999999999E-2</v>
      </c>
      <c r="H21" s="9">
        <v>4386836</v>
      </c>
    </row>
    <row r="22" spans="1:12" ht="15.75" hidden="1" outlineLevel="1" thickBot="1" x14ac:dyDescent="0.3">
      <c r="B22" s="10"/>
      <c r="C22" s="11"/>
      <c r="D22" s="11"/>
      <c r="E22" s="12"/>
      <c r="F22" s="12"/>
      <c r="G22" s="12"/>
      <c r="H22" s="13">
        <f>SUM(H15:H21)</f>
        <v>6887801</v>
      </c>
    </row>
    <row r="23" spans="1:12" hidden="1" outlineLevel="1" x14ac:dyDescent="0.25"/>
    <row r="24" spans="1:12" hidden="1" outlineLevel="1" x14ac:dyDescent="0.25">
      <c r="A24" t="s">
        <v>7</v>
      </c>
      <c r="H24" s="20" t="e">
        <f>+H22-$H$11</f>
        <v>#REF!</v>
      </c>
      <c r="J24" s="20"/>
    </row>
    <row r="25" spans="1:12" hidden="1" outlineLevel="1" x14ac:dyDescent="0.25">
      <c r="J25" s="20"/>
    </row>
    <row r="26" spans="1:12" ht="15.75" hidden="1" outlineLevel="1" thickBot="1" x14ac:dyDescent="0.3"/>
    <row r="27" spans="1:12" ht="15.75" hidden="1" outlineLevel="1" thickBot="1" x14ac:dyDescent="0.3">
      <c r="A27" t="s">
        <v>0</v>
      </c>
      <c r="B27" s="257">
        <v>43921</v>
      </c>
      <c r="C27" s="258"/>
      <c r="D27" s="258"/>
      <c r="E27" s="258"/>
      <c r="F27" s="258"/>
      <c r="G27" s="258"/>
      <c r="H27" s="259"/>
    </row>
    <row r="28" spans="1:12" ht="30" hidden="1" outlineLevel="1" x14ac:dyDescent="0.25">
      <c r="B28" s="2" t="str">
        <f>+[1]MTM!$E$42</f>
        <v>Date de transaction</v>
      </c>
      <c r="C28" s="3" t="str">
        <f>+[1]MTM!$F$42</f>
        <v>Date de début</v>
      </c>
      <c r="D28" s="3" t="str">
        <f>+[1]MTM!$G$42</f>
        <v>Échéance</v>
      </c>
      <c r="E28" s="3" t="str">
        <f>+[1]MTM!$I$42</f>
        <v>Nominal initial du contrat</v>
      </c>
      <c r="F28" s="3" t="str">
        <f>+[1]MTM!$J$42</f>
        <v>Nominal restant</v>
      </c>
      <c r="G28" s="21" t="str">
        <f>+$G$3</f>
        <v>Taux Swap</v>
      </c>
      <c r="H28" s="4" t="str">
        <f>+[1]MTM!$O$42</f>
        <v>Valeur indicative*</v>
      </c>
    </row>
    <row r="29" spans="1:12" hidden="1" outlineLevel="1" x14ac:dyDescent="0.25">
      <c r="A29" t="s">
        <v>1</v>
      </c>
      <c r="B29" s="5">
        <v>42821</v>
      </c>
      <c r="C29" s="6">
        <v>42821</v>
      </c>
      <c r="D29" s="6">
        <v>44281</v>
      </c>
      <c r="E29" s="7">
        <f>+E15</f>
        <v>766756</v>
      </c>
      <c r="F29" s="7">
        <v>507321</v>
      </c>
      <c r="G29" s="8">
        <v>1.49E-2</v>
      </c>
      <c r="H29" s="9" t="e" cm="1">
        <f t="array" ref="H29">+[5]!TableIRD[Valeur Indicative*/ Indicative Value *]</f>
        <v>#REF!</v>
      </c>
    </row>
    <row r="30" spans="1:12" hidden="1" outlineLevel="1" x14ac:dyDescent="0.25">
      <c r="A30" t="s">
        <v>2</v>
      </c>
      <c r="B30" s="5">
        <v>41061</v>
      </c>
      <c r="C30" s="6">
        <v>43430</v>
      </c>
      <c r="D30" s="6">
        <v>43430</v>
      </c>
      <c r="E30" s="7">
        <f>+E16</f>
        <v>16834462</v>
      </c>
      <c r="F30" s="7">
        <v>16198490</v>
      </c>
      <c r="G30" s="8" t="e" cm="1">
        <f t="array" ref="G30">+[6]!TableIRD[Taux/ Rate]/100</f>
        <v>#REF!</v>
      </c>
      <c r="H30" s="9" t="e" cm="1">
        <f t="array" ref="H30">+[6]!TableIRD[Valeur Indicative*/ Indicative Value *]</f>
        <v>#REF!</v>
      </c>
    </row>
    <row r="31" spans="1:12" hidden="1" outlineLevel="1" x14ac:dyDescent="0.25">
      <c r="A31" t="s">
        <v>3</v>
      </c>
      <c r="B31" s="5">
        <v>41514</v>
      </c>
      <c r="C31" s="6">
        <v>43434</v>
      </c>
      <c r="D31" s="6">
        <v>45442</v>
      </c>
      <c r="E31" s="7">
        <f>+[7]MTM!$I$44</f>
        <v>7172462.8499999996</v>
      </c>
      <c r="F31" s="7">
        <f>+[7]MTM!$J$44</f>
        <v>6565361.5700000003</v>
      </c>
      <c r="G31" s="8">
        <f>+[7]MTM!$K$44/100</f>
        <v>3.4000000000000002E-2</v>
      </c>
      <c r="H31" s="9">
        <f>+[7]MTM!$O$44</f>
        <v>580658.52545900003</v>
      </c>
      <c r="J31" s="20"/>
    </row>
    <row r="32" spans="1:12" hidden="1" outlineLevel="1" x14ac:dyDescent="0.25">
      <c r="A32" t="s">
        <v>3</v>
      </c>
      <c r="B32" s="5">
        <v>41663</v>
      </c>
      <c r="C32" s="6">
        <v>43434</v>
      </c>
      <c r="D32" s="6">
        <v>45442</v>
      </c>
      <c r="E32" s="7">
        <f>+[7]MTM!$I$45</f>
        <v>4402703.46</v>
      </c>
      <c r="F32" s="7">
        <f>+[7]MTM!$J$45</f>
        <v>4021511.53</v>
      </c>
      <c r="G32" s="8">
        <f>+[7]MTM!$K$45/100</f>
        <v>0.03</v>
      </c>
      <c r="H32" s="9">
        <f>+[7]MTM!$O$45</f>
        <v>298646.94936199998</v>
      </c>
    </row>
    <row r="33" spans="1:10" hidden="1" outlineLevel="1" x14ac:dyDescent="0.25">
      <c r="A33" t="s">
        <v>3</v>
      </c>
      <c r="B33" s="5">
        <v>41716</v>
      </c>
      <c r="C33" s="6">
        <v>41789</v>
      </c>
      <c r="D33" s="6">
        <v>45442</v>
      </c>
      <c r="E33" s="7">
        <f>+[7]MTM!$I$46</f>
        <v>7912500</v>
      </c>
      <c r="F33" s="7">
        <f>+[7]MTM!$J$46</f>
        <v>5772065.1100000003</v>
      </c>
      <c r="G33" s="8">
        <f>+[7]MTM!$K$46/100</f>
        <v>2.8999999999999998E-2</v>
      </c>
      <c r="H33" s="9">
        <f>+[7]MTM!$O$46</f>
        <v>408092.17353500001</v>
      </c>
    </row>
    <row r="34" spans="1:10" hidden="1" outlineLevel="1" x14ac:dyDescent="0.25">
      <c r="A34" t="s">
        <v>4</v>
      </c>
      <c r="B34" s="5">
        <v>43249</v>
      </c>
      <c r="C34" s="6">
        <v>43430</v>
      </c>
      <c r="D34" s="6">
        <v>45072</v>
      </c>
      <c r="E34" s="7">
        <f>+[8]MTM!$I$44</f>
        <v>13194518.01</v>
      </c>
      <c r="F34" s="7">
        <f>+[8]MTM!$J$44</f>
        <v>12771647.140000001</v>
      </c>
      <c r="G34" s="8">
        <f>+[8]MTM!$K$44/100</f>
        <v>2.69E-2</v>
      </c>
      <c r="H34" s="9">
        <f>+[8]MTM!$O$44</f>
        <v>725888.72642099997</v>
      </c>
    </row>
    <row r="35" spans="1:10" hidden="1" outlineLevel="1" x14ac:dyDescent="0.25">
      <c r="A35" t="s">
        <v>5</v>
      </c>
      <c r="B35" s="5">
        <v>43249</v>
      </c>
      <c r="C35" s="6">
        <v>43430</v>
      </c>
      <c r="D35" s="6">
        <v>50551</v>
      </c>
      <c r="E35" s="7">
        <f>+[8]MTM!$I$45</f>
        <v>21557728.260000002</v>
      </c>
      <c r="F35" s="7">
        <f>+[8]MTM!$J$45</f>
        <v>20923663.690000001</v>
      </c>
      <c r="G35" s="8">
        <f>+[8]MTM!$K$45/100</f>
        <v>2.9399999999999999E-2</v>
      </c>
      <c r="H35" s="9">
        <f>+[8]MTM!$O$45</f>
        <v>4198905.0957779996</v>
      </c>
    </row>
    <row r="36" spans="1:10" ht="15.75" hidden="1" outlineLevel="1" thickBot="1" x14ac:dyDescent="0.3">
      <c r="B36" s="10"/>
      <c r="C36" s="11"/>
      <c r="D36" s="11"/>
      <c r="E36" s="12"/>
      <c r="F36" s="12"/>
      <c r="G36" s="12"/>
      <c r="H36" s="13" t="e">
        <f>SUM(H29:H35)</f>
        <v>#REF!</v>
      </c>
    </row>
    <row r="37" spans="1:10" hidden="1" outlineLevel="1" x14ac:dyDescent="0.25"/>
    <row r="38" spans="1:10" hidden="1" outlineLevel="1" x14ac:dyDescent="0.25">
      <c r="A38" t="s">
        <v>7</v>
      </c>
      <c r="H38" s="20" t="e">
        <f>+H36-$H$11</f>
        <v>#REF!</v>
      </c>
      <c r="J38" s="20"/>
    </row>
    <row r="39" spans="1:10" hidden="1" outlineLevel="1" x14ac:dyDescent="0.25">
      <c r="A39" t="s">
        <v>8</v>
      </c>
      <c r="H39" s="20" t="e">
        <f>+H36-H22</f>
        <v>#REF!</v>
      </c>
    </row>
    <row r="40" spans="1:10" hidden="1" outlineLevel="1" x14ac:dyDescent="0.25"/>
    <row r="41" spans="1:10" ht="15.75" hidden="1" outlineLevel="1" thickBot="1" x14ac:dyDescent="0.3"/>
    <row r="42" spans="1:10" ht="15.75" hidden="1" outlineLevel="1" thickBot="1" x14ac:dyDescent="0.3">
      <c r="A42" t="s">
        <v>0</v>
      </c>
      <c r="B42" s="257">
        <v>44012</v>
      </c>
      <c r="C42" s="258"/>
      <c r="D42" s="258"/>
      <c r="E42" s="258"/>
      <c r="F42" s="258"/>
      <c r="G42" s="258"/>
      <c r="H42" s="259"/>
    </row>
    <row r="43" spans="1:10" ht="30" hidden="1" outlineLevel="1" x14ac:dyDescent="0.25">
      <c r="B43" s="2" t="str">
        <f>+[1]MTM!$E$42</f>
        <v>Date de transaction</v>
      </c>
      <c r="C43" s="3" t="str">
        <f>+[1]MTM!$F$42</f>
        <v>Date de début</v>
      </c>
      <c r="D43" s="3" t="str">
        <f>+[1]MTM!$G$42</f>
        <v>Échéance</v>
      </c>
      <c r="E43" s="3" t="str">
        <f>+[1]MTM!$I$42</f>
        <v>Nominal initial du contrat</v>
      </c>
      <c r="F43" s="3" t="str">
        <f>+[1]MTM!$J$42</f>
        <v>Nominal restant</v>
      </c>
      <c r="G43" s="21" t="str">
        <f>+$G$3</f>
        <v>Taux Swap</v>
      </c>
      <c r="H43" s="4" t="str">
        <f>+[1]MTM!$O$42</f>
        <v>Valeur indicative*</v>
      </c>
    </row>
    <row r="44" spans="1:10" hidden="1" outlineLevel="1" x14ac:dyDescent="0.25">
      <c r="A44" t="s">
        <v>1</v>
      </c>
      <c r="B44" s="5">
        <v>42821</v>
      </c>
      <c r="C44" s="6">
        <v>42821</v>
      </c>
      <c r="D44" s="6">
        <v>44281</v>
      </c>
      <c r="E44" s="7">
        <f>+E29</f>
        <v>766756</v>
      </c>
      <c r="F44" s="7">
        <f>+'[9]Des Pommetriers '!$D$52</f>
        <v>484326.08342378197</v>
      </c>
      <c r="G44" s="8">
        <v>1.49E-2</v>
      </c>
      <c r="H44" s="9"/>
    </row>
    <row r="45" spans="1:10" hidden="1" outlineLevel="1" x14ac:dyDescent="0.25">
      <c r="A45" t="s">
        <v>2</v>
      </c>
      <c r="B45" s="5">
        <v>41061</v>
      </c>
      <c r="C45" s="6">
        <v>43430</v>
      </c>
      <c r="D45" s="6">
        <v>44526</v>
      </c>
      <c r="E45" s="7">
        <f t="shared" ref="E45:E50" si="1">+E30</f>
        <v>16834462</v>
      </c>
      <c r="F45" s="7">
        <v>16076844</v>
      </c>
      <c r="G45" s="8" t="e" cm="1">
        <f t="array" ref="G45">+[6]!TableIRD[Taux/ Rate]/100</f>
        <v>#REF!</v>
      </c>
      <c r="H45" s="9" t="e" cm="1">
        <f t="array" ref="H45">+[10]!TableIRD[Valeur Indicative*/ Indicative Value *]</f>
        <v>#REF!</v>
      </c>
    </row>
    <row r="46" spans="1:10" hidden="1" outlineLevel="1" x14ac:dyDescent="0.25">
      <c r="A46" t="s">
        <v>3</v>
      </c>
      <c r="B46" s="5">
        <v>41514</v>
      </c>
      <c r="C46" s="6">
        <v>43434</v>
      </c>
      <c r="D46" s="6">
        <v>45442</v>
      </c>
      <c r="E46" s="7">
        <f t="shared" si="1"/>
        <v>7172462.8499999996</v>
      </c>
      <c r="F46" s="7">
        <f>+[11]MTM!$J$44</f>
        <v>6447111.8200000003</v>
      </c>
      <c r="G46" s="8">
        <f>+[7]MTM!$K$44/100</f>
        <v>3.4000000000000002E-2</v>
      </c>
      <c r="H46" s="9">
        <f>+[11]MTM!$O$44</f>
        <v>583399.57435899996</v>
      </c>
    </row>
    <row r="47" spans="1:10" hidden="1" outlineLevel="1" x14ac:dyDescent="0.25">
      <c r="A47" t="s">
        <v>3</v>
      </c>
      <c r="B47" s="5">
        <v>41663</v>
      </c>
      <c r="C47" s="6">
        <v>43434</v>
      </c>
      <c r="D47" s="6">
        <v>45442</v>
      </c>
      <c r="E47" s="7">
        <f t="shared" si="1"/>
        <v>4402703.46</v>
      </c>
      <c r="F47" s="7">
        <f>+[11]MTM!$J$45</f>
        <v>3947443.21</v>
      </c>
      <c r="G47" s="8">
        <f>+[7]MTM!$K$45/100</f>
        <v>0.03</v>
      </c>
      <c r="H47" s="9">
        <f>+[11]MTM!$O$45</f>
        <v>304134.14674599998</v>
      </c>
    </row>
    <row r="48" spans="1:10" hidden="1" outlineLevel="1" x14ac:dyDescent="0.25">
      <c r="A48" t="s">
        <v>3</v>
      </c>
      <c r="B48" s="5">
        <v>41716</v>
      </c>
      <c r="C48" s="6">
        <v>41789</v>
      </c>
      <c r="D48" s="6">
        <v>45442</v>
      </c>
      <c r="E48" s="7">
        <f t="shared" si="1"/>
        <v>7912500</v>
      </c>
      <c r="F48" s="7">
        <f>+[11]MTM!$J$46</f>
        <v>5664293.5599999996</v>
      </c>
      <c r="G48" s="8">
        <f>+[7]MTM!$K$46/100</f>
        <v>2.8999999999999998E-2</v>
      </c>
      <c r="H48" s="9">
        <f>+[11]MTM!$O$46</f>
        <v>417479.71102599998</v>
      </c>
    </row>
    <row r="49" spans="1:14" hidden="1" outlineLevel="1" x14ac:dyDescent="0.25">
      <c r="A49" t="s">
        <v>4</v>
      </c>
      <c r="B49" s="5">
        <v>43249</v>
      </c>
      <c r="C49" s="6">
        <v>43430</v>
      </c>
      <c r="D49" s="6">
        <v>45072</v>
      </c>
      <c r="E49" s="7">
        <f t="shared" si="1"/>
        <v>13194518.01</v>
      </c>
      <c r="F49" s="7">
        <f>+[12]MTM!$J$44</f>
        <v>12690936.970000001</v>
      </c>
      <c r="G49" s="8">
        <f>+[8]MTM!$K$44/100</f>
        <v>2.69E-2</v>
      </c>
      <c r="H49" s="9">
        <f>+[12]MTM!$O$44</f>
        <v>741853.46372500004</v>
      </c>
    </row>
    <row r="50" spans="1:14" hidden="1" outlineLevel="1" x14ac:dyDescent="0.25">
      <c r="A50" t="s">
        <v>5</v>
      </c>
      <c r="B50" s="5">
        <v>43249</v>
      </c>
      <c r="C50" s="6">
        <v>43430</v>
      </c>
      <c r="D50" s="6">
        <v>50551</v>
      </c>
      <c r="E50" s="7">
        <f t="shared" si="1"/>
        <v>21557728.260000002</v>
      </c>
      <c r="F50" s="7">
        <f>+[12]MTM!$J$45</f>
        <v>20802554.25</v>
      </c>
      <c r="G50" s="8">
        <f>+[8]MTM!$K$45/100</f>
        <v>2.9399999999999999E-2</v>
      </c>
      <c r="H50" s="9">
        <f>+[12]MTM!$O$45</f>
        <v>4379258.2147519998</v>
      </c>
    </row>
    <row r="51" spans="1:14" ht="15.75" hidden="1" outlineLevel="1" thickBot="1" x14ac:dyDescent="0.3">
      <c r="B51" s="10"/>
      <c r="C51" s="11"/>
      <c r="D51" s="11"/>
      <c r="E51" s="12"/>
      <c r="F51" s="12"/>
      <c r="G51" s="12"/>
      <c r="H51" s="13" t="e">
        <f>SUM(H44:H50)</f>
        <v>#REF!</v>
      </c>
    </row>
    <row r="52" spans="1:14" hidden="1" outlineLevel="1" x14ac:dyDescent="0.25"/>
    <row r="53" spans="1:14" hidden="1" outlineLevel="1" x14ac:dyDescent="0.25">
      <c r="A53" t="s">
        <v>7</v>
      </c>
      <c r="H53" s="20" t="e">
        <f>+H51-$H$11</f>
        <v>#REF!</v>
      </c>
    </row>
    <row r="54" spans="1:14" hidden="1" outlineLevel="1" x14ac:dyDescent="0.25">
      <c r="A54" t="s">
        <v>8</v>
      </c>
      <c r="H54" s="20" t="e">
        <f>+H51-H36</f>
        <v>#REF!</v>
      </c>
    </row>
    <row r="55" spans="1:14" hidden="1" outlineLevel="1" x14ac:dyDescent="0.25"/>
    <row r="56" spans="1:14" ht="15.75" collapsed="1" thickBot="1" x14ac:dyDescent="0.3"/>
    <row r="57" spans="1:14" ht="15.75" thickBot="1" x14ac:dyDescent="0.3">
      <c r="A57" t="s">
        <v>0</v>
      </c>
      <c r="B57" s="257" t="s">
        <v>50</v>
      </c>
      <c r="C57" s="258"/>
      <c r="D57" s="258"/>
      <c r="E57" s="258"/>
      <c r="F57" s="258"/>
      <c r="G57" s="258"/>
      <c r="H57" s="259"/>
    </row>
    <row r="58" spans="1:14" ht="30" x14ac:dyDescent="0.25">
      <c r="A58" s="24" t="s">
        <v>18</v>
      </c>
      <c r="B58" s="26" t="str">
        <f>+[1]MTM!$E$42</f>
        <v>Date de transaction</v>
      </c>
      <c r="C58" s="21" t="str">
        <f>+[1]MTM!$F$42</f>
        <v>Date de début</v>
      </c>
      <c r="D58" s="21" t="str">
        <f>+[1]MTM!$G$42</f>
        <v>Échéance</v>
      </c>
      <c r="E58" s="3" t="str">
        <f>+[1]MTM!$I$42</f>
        <v>Nominal initial du contrat</v>
      </c>
      <c r="F58" s="3" t="str">
        <f>+[1]MTM!$J$42</f>
        <v>Nominal restant</v>
      </c>
      <c r="G58" s="21" t="str">
        <f>+$G$3</f>
        <v>Taux Swap</v>
      </c>
      <c r="H58" s="28" t="str">
        <f>+[1]MTM!$O$42</f>
        <v>Valeur indicative*</v>
      </c>
      <c r="J58" s="21" t="s">
        <v>55</v>
      </c>
      <c r="K58" s="21" t="s">
        <v>15</v>
      </c>
      <c r="L58" s="21" t="s">
        <v>16</v>
      </c>
      <c r="N58" t="s">
        <v>32</v>
      </c>
    </row>
    <row r="59" spans="1:14" x14ac:dyDescent="0.25">
      <c r="A59" s="27"/>
      <c r="B59" s="5"/>
      <c r="C59" s="6"/>
      <c r="D59" s="6"/>
      <c r="E59" s="7"/>
      <c r="F59" s="7"/>
      <c r="G59" s="32"/>
      <c r="H59" s="9"/>
      <c r="J59" s="23"/>
      <c r="K59" s="25"/>
      <c r="L59" s="33"/>
      <c r="N59" s="23"/>
    </row>
    <row r="60" spans="1:14" x14ac:dyDescent="0.25">
      <c r="A60" s="27"/>
      <c r="B60" s="5"/>
      <c r="C60" s="6"/>
      <c r="D60" s="6"/>
      <c r="E60" s="71"/>
      <c r="F60" s="71"/>
      <c r="G60" s="72"/>
      <c r="H60" s="73"/>
      <c r="J60" s="23"/>
      <c r="K60" s="74"/>
      <c r="L60" s="33"/>
      <c r="N60" s="23"/>
    </row>
    <row r="61" spans="1:14" x14ac:dyDescent="0.25">
      <c r="A61" s="27" t="s">
        <v>3</v>
      </c>
      <c r="B61" s="5">
        <v>41514</v>
      </c>
      <c r="C61" s="6">
        <v>43434</v>
      </c>
      <c r="D61" s="49">
        <v>45442</v>
      </c>
      <c r="E61" s="7">
        <f t="shared" ref="E61:E65" si="2">+E46</f>
        <v>7172462.8499999996</v>
      </c>
      <c r="F61" s="7">
        <v>5294740.74</v>
      </c>
      <c r="G61" s="32">
        <f>+[7]MTM!$K$44/100</f>
        <v>3.4000000000000002E-2</v>
      </c>
      <c r="H61" s="9">
        <v>-62307.64</v>
      </c>
      <c r="J61" s="23" t="s">
        <v>14</v>
      </c>
      <c r="K61" s="25" t="s">
        <v>37</v>
      </c>
      <c r="L61" s="48">
        <v>45443</v>
      </c>
      <c r="M61" t="s">
        <v>21</v>
      </c>
      <c r="N61" s="23" t="s">
        <v>29</v>
      </c>
    </row>
    <row r="62" spans="1:14" x14ac:dyDescent="0.25">
      <c r="A62" s="27" t="s">
        <v>3</v>
      </c>
      <c r="B62" s="5">
        <v>41663</v>
      </c>
      <c r="C62" s="6">
        <v>43434</v>
      </c>
      <c r="D62" s="49">
        <v>45442</v>
      </c>
      <c r="E62" s="7">
        <f t="shared" si="2"/>
        <v>4402703.46</v>
      </c>
      <c r="F62" s="7">
        <v>3229653.23</v>
      </c>
      <c r="G62" s="32">
        <f>+[7]MTM!$K$45/100</f>
        <v>0.03</v>
      </c>
      <c r="H62" s="9">
        <v>-57046.36</v>
      </c>
      <c r="J62" s="23" t="s">
        <v>14</v>
      </c>
      <c r="K62" s="25" t="str">
        <f>+K61</f>
        <v>20 mois</v>
      </c>
      <c r="L62" s="48">
        <f>+L61</f>
        <v>45443</v>
      </c>
      <c r="M62" t="s">
        <v>21</v>
      </c>
      <c r="N62" s="23" t="s">
        <v>29</v>
      </c>
    </row>
    <row r="63" spans="1:14" x14ac:dyDescent="0.25">
      <c r="A63" s="27" t="s">
        <v>3</v>
      </c>
      <c r="B63" s="5">
        <v>41716</v>
      </c>
      <c r="C63" s="6">
        <v>41789</v>
      </c>
      <c r="D63" s="49">
        <v>45442</v>
      </c>
      <c r="E63" s="7">
        <f t="shared" si="2"/>
        <v>7912500</v>
      </c>
      <c r="F63" s="7">
        <v>4629570.2300000004</v>
      </c>
      <c r="G63" s="32">
        <f>+[7]MTM!$K$46/100</f>
        <v>2.8999999999999998E-2</v>
      </c>
      <c r="H63" s="9">
        <v>-88598.53</v>
      </c>
      <c r="J63" s="23" t="s">
        <v>14</v>
      </c>
      <c r="K63" s="25" t="str">
        <f>+K61</f>
        <v>20 mois</v>
      </c>
      <c r="L63" s="48">
        <f>+L62</f>
        <v>45443</v>
      </c>
      <c r="M63" t="s">
        <v>21</v>
      </c>
      <c r="N63" s="23" t="s">
        <v>29</v>
      </c>
    </row>
    <row r="64" spans="1:14" x14ac:dyDescent="0.25">
      <c r="A64" s="27" t="s">
        <v>4</v>
      </c>
      <c r="B64" s="5">
        <v>43249</v>
      </c>
      <c r="C64" s="6">
        <v>43430</v>
      </c>
      <c r="D64" s="50">
        <v>45072</v>
      </c>
      <c r="E64" s="7">
        <f t="shared" si="2"/>
        <v>13194518.01</v>
      </c>
      <c r="F64" s="7">
        <v>11914297.369999999</v>
      </c>
      <c r="G64" s="32">
        <f>+[8]MTM!$K$44/100</f>
        <v>2.69E-2</v>
      </c>
      <c r="H64" s="9">
        <v>-118576.34</v>
      </c>
      <c r="J64" s="23" t="s">
        <v>36</v>
      </c>
      <c r="K64" s="25" t="s">
        <v>53</v>
      </c>
      <c r="L64" s="51">
        <v>45281</v>
      </c>
      <c r="M64" t="s">
        <v>24</v>
      </c>
      <c r="N64" s="23" t="s">
        <v>31</v>
      </c>
    </row>
    <row r="65" spans="1:14" x14ac:dyDescent="0.25">
      <c r="A65" s="27" t="s">
        <v>5</v>
      </c>
      <c r="B65" s="5">
        <v>43249</v>
      </c>
      <c r="C65" s="6">
        <v>43430</v>
      </c>
      <c r="D65" s="50">
        <v>50551</v>
      </c>
      <c r="E65" s="7">
        <f t="shared" si="2"/>
        <v>21557728.260000002</v>
      </c>
      <c r="F65" s="7">
        <v>19624823.02</v>
      </c>
      <c r="G65" s="32">
        <f>+[8]MTM!$K$45/100</f>
        <v>2.9399999999999999E-2</v>
      </c>
      <c r="H65" s="9">
        <v>-1332883.83</v>
      </c>
      <c r="J65" s="23" t="s">
        <v>36</v>
      </c>
      <c r="K65" s="25" t="s">
        <v>54</v>
      </c>
      <c r="L65" s="51">
        <v>45281</v>
      </c>
      <c r="M65" t="s">
        <v>24</v>
      </c>
      <c r="N65" s="23" t="s">
        <v>31</v>
      </c>
    </row>
    <row r="66" spans="1:14" x14ac:dyDescent="0.25">
      <c r="A66" s="27" t="s">
        <v>51</v>
      </c>
      <c r="B66" s="58" t="s">
        <v>52</v>
      </c>
      <c r="C66" s="6">
        <v>44620</v>
      </c>
      <c r="D66" s="50">
        <v>48270</v>
      </c>
      <c r="E66" s="7">
        <v>24700000</v>
      </c>
      <c r="F66" s="7">
        <v>24383281.190000001</v>
      </c>
      <c r="G66" s="59">
        <v>2.5325E-2</v>
      </c>
      <c r="H66" s="9">
        <v>-1908786.6</v>
      </c>
      <c r="J66" s="23"/>
      <c r="K66" s="25" t="s">
        <v>58</v>
      </c>
      <c r="L66" s="51">
        <f>+L65</f>
        <v>45281</v>
      </c>
      <c r="M66" t="s">
        <v>24</v>
      </c>
      <c r="N66" s="23" t="s">
        <v>31</v>
      </c>
    </row>
    <row r="67" spans="1:14" x14ac:dyDescent="0.25">
      <c r="A67" s="27" t="s">
        <v>51</v>
      </c>
      <c r="B67" s="58" t="str">
        <f>+B66</f>
        <v>2022--02-16</v>
      </c>
      <c r="C67" s="6">
        <f>+C66</f>
        <v>44620</v>
      </c>
      <c r="D67" s="50">
        <v>46444</v>
      </c>
      <c r="E67" s="7">
        <v>10000000</v>
      </c>
      <c r="F67" s="7">
        <v>9890994</v>
      </c>
      <c r="G67" s="32">
        <v>2.3599999999999999E-2</v>
      </c>
      <c r="H67" s="9" t="s">
        <v>57</v>
      </c>
      <c r="J67" s="23"/>
      <c r="K67" s="25" t="s">
        <v>59</v>
      </c>
      <c r="L67" s="51">
        <f>+L66</f>
        <v>45281</v>
      </c>
      <c r="M67" t="s">
        <v>24</v>
      </c>
      <c r="N67" s="23" t="s">
        <v>31</v>
      </c>
    </row>
    <row r="68" spans="1:14" x14ac:dyDescent="0.25">
      <c r="A68" s="27" t="s">
        <v>51</v>
      </c>
      <c r="B68" s="58" t="str">
        <f>+B66</f>
        <v>2022--02-16</v>
      </c>
      <c r="C68" s="6">
        <f>+C66</f>
        <v>44620</v>
      </c>
      <c r="D68" s="50">
        <v>50097</v>
      </c>
      <c r="E68" s="7">
        <v>10000000</v>
      </c>
      <c r="F68" s="7">
        <v>9894763</v>
      </c>
      <c r="G68" s="32">
        <v>2.6030000000000001E-2</v>
      </c>
      <c r="H68" s="9" t="s">
        <v>57</v>
      </c>
      <c r="J68" s="23"/>
      <c r="K68" s="25" t="s">
        <v>60</v>
      </c>
      <c r="L68" s="51">
        <f>+L67</f>
        <v>45281</v>
      </c>
      <c r="M68" t="s">
        <v>24</v>
      </c>
      <c r="N68" s="23" t="s">
        <v>40</v>
      </c>
    </row>
    <row r="69" spans="1:14" ht="15.75" thickBot="1" x14ac:dyDescent="0.3">
      <c r="B69" s="10"/>
      <c r="C69" s="11"/>
      <c r="D69" s="11"/>
      <c r="E69" s="12"/>
      <c r="F69" s="12"/>
      <c r="G69" s="12"/>
      <c r="H69" s="13">
        <f>SUM(H59:H66)</f>
        <v>-3568199.3000000003</v>
      </c>
      <c r="J69" s="23"/>
      <c r="K69" s="23"/>
      <c r="L69" s="23"/>
      <c r="N69" s="23"/>
    </row>
    <row r="70" spans="1:14" ht="15.75" thickBot="1" x14ac:dyDescent="0.3">
      <c r="B70" s="36"/>
      <c r="C70" s="37"/>
      <c r="D70" s="37"/>
      <c r="E70" s="38">
        <f>SUM(E59:E69)</f>
        <v>98939912.579999998</v>
      </c>
      <c r="F70" s="38">
        <f>SUM(F59:F69)</f>
        <v>88862122.780000001</v>
      </c>
      <c r="G70" s="37"/>
      <c r="H70" s="39"/>
      <c r="L70" s="23"/>
      <c r="N70" s="23"/>
    </row>
    <row r="71" spans="1:14" ht="15.75" thickBot="1" x14ac:dyDescent="0.3">
      <c r="B71" s="2"/>
      <c r="E71" s="20"/>
      <c r="F71" s="56">
        <f>+F70/F80</f>
        <v>0.62908975907825138</v>
      </c>
      <c r="H71" s="40"/>
      <c r="L71" s="23"/>
      <c r="N71" s="23"/>
    </row>
    <row r="72" spans="1:14" ht="33.75" customHeight="1" x14ac:dyDescent="0.25">
      <c r="A72" s="24" t="s">
        <v>19</v>
      </c>
      <c r="B72" s="2"/>
      <c r="E72" s="23" t="s">
        <v>39</v>
      </c>
      <c r="F72" s="23" t="s">
        <v>25</v>
      </c>
      <c r="G72" s="260" t="s">
        <v>64</v>
      </c>
      <c r="H72" s="261"/>
      <c r="L72" s="23"/>
      <c r="N72" s="23"/>
    </row>
    <row r="73" spans="1:14" x14ac:dyDescent="0.25">
      <c r="A73" s="27" t="s">
        <v>17</v>
      </c>
      <c r="B73" s="2"/>
      <c r="C73" s="262">
        <v>35000000</v>
      </c>
      <c r="D73" s="6"/>
      <c r="E73" s="42"/>
      <c r="F73" s="42">
        <v>7700000</v>
      </c>
      <c r="G73" s="263" t="s">
        <v>65</v>
      </c>
      <c r="H73" s="264"/>
      <c r="K73" s="23" t="s">
        <v>26</v>
      </c>
      <c r="L73" s="33">
        <v>45281</v>
      </c>
      <c r="M73" t="s">
        <v>24</v>
      </c>
      <c r="N73" s="23" t="s">
        <v>61</v>
      </c>
    </row>
    <row r="74" spans="1:14" x14ac:dyDescent="0.25">
      <c r="A74" s="27" t="s">
        <v>17</v>
      </c>
      <c r="B74" s="2"/>
      <c r="C74" s="262"/>
      <c r="D74" s="6"/>
      <c r="E74" s="42"/>
      <c r="F74" s="42">
        <v>20835000</v>
      </c>
      <c r="G74" s="263" t="s">
        <v>65</v>
      </c>
      <c r="H74" s="264"/>
      <c r="K74" s="23" t="s">
        <v>26</v>
      </c>
      <c r="L74" s="33">
        <v>45281</v>
      </c>
      <c r="M74" t="s">
        <v>24</v>
      </c>
      <c r="N74" s="23" t="s">
        <v>61</v>
      </c>
    </row>
    <row r="75" spans="1:14" x14ac:dyDescent="0.25">
      <c r="A75" s="27" t="s">
        <v>20</v>
      </c>
      <c r="B75" s="5">
        <v>43374</v>
      </c>
      <c r="C75" s="42"/>
      <c r="D75" s="6"/>
      <c r="E75" s="42">
        <v>10800000</v>
      </c>
      <c r="F75" s="42">
        <v>9108000</v>
      </c>
      <c r="G75" s="70">
        <v>2.2499999999999999E-2</v>
      </c>
      <c r="H75" s="40"/>
      <c r="K75" s="23" t="s">
        <v>26</v>
      </c>
      <c r="L75" s="33">
        <v>45281</v>
      </c>
      <c r="M75" t="s">
        <v>24</v>
      </c>
      <c r="N75" s="23" t="s">
        <v>31</v>
      </c>
    </row>
    <row r="76" spans="1:14" x14ac:dyDescent="0.25">
      <c r="A76" s="60" t="s">
        <v>2</v>
      </c>
      <c r="B76" s="61">
        <v>44486</v>
      </c>
      <c r="C76" s="62">
        <v>44526</v>
      </c>
      <c r="D76" s="62">
        <v>44891</v>
      </c>
      <c r="E76" s="63">
        <v>15356113.890000001</v>
      </c>
      <c r="F76" s="63">
        <f>+E76-(67351*9)</f>
        <v>14749954.890000001</v>
      </c>
      <c r="G76" s="64">
        <v>1.6E-2</v>
      </c>
      <c r="H76" s="65"/>
      <c r="I76" s="66"/>
      <c r="J76" s="67" t="s">
        <v>63</v>
      </c>
      <c r="K76" s="68"/>
      <c r="L76" s="69">
        <f>+D76</f>
        <v>44891</v>
      </c>
      <c r="M76" s="66" t="s">
        <v>21</v>
      </c>
      <c r="N76" s="67" t="s">
        <v>28</v>
      </c>
    </row>
    <row r="77" spans="1:14" x14ac:dyDescent="0.25">
      <c r="A77" s="27"/>
      <c r="B77" s="5"/>
      <c r="C77" s="42"/>
      <c r="E77" s="42"/>
      <c r="F77" s="42"/>
      <c r="H77" s="40"/>
      <c r="K77" s="23"/>
      <c r="L77" s="33"/>
      <c r="N77" s="23"/>
    </row>
    <row r="78" spans="1:14" ht="15.75" thickBot="1" x14ac:dyDescent="0.3">
      <c r="B78" s="43"/>
      <c r="C78" s="34"/>
      <c r="D78" s="34"/>
      <c r="E78" s="35">
        <f>SUM(E73:E77)</f>
        <v>26156113.890000001</v>
      </c>
      <c r="F78" s="35">
        <f>SUM(F73:F77)</f>
        <v>52392954.890000001</v>
      </c>
      <c r="G78" s="34"/>
      <c r="H78" s="44"/>
      <c r="L78" s="23"/>
    </row>
    <row r="79" spans="1:14" ht="15.75" thickBot="1" x14ac:dyDescent="0.3">
      <c r="B79" s="2"/>
      <c r="F79" s="56">
        <f>+F78/F80</f>
        <v>0.37091024092174846</v>
      </c>
      <c r="H79" s="40"/>
      <c r="L79" s="23"/>
    </row>
    <row r="80" spans="1:14" ht="15.75" thickBot="1" x14ac:dyDescent="0.3">
      <c r="A80" s="29" t="s">
        <v>23</v>
      </c>
      <c r="B80" s="45"/>
      <c r="C80" s="30"/>
      <c r="D80" s="30"/>
      <c r="E80" s="31">
        <f>+E70+E78</f>
        <v>125096026.47</v>
      </c>
      <c r="F80" s="57">
        <f>+F70+F78</f>
        <v>141255077.67000002</v>
      </c>
      <c r="G80" s="30"/>
      <c r="H80" s="46"/>
    </row>
    <row r="81" spans="1:8" ht="15.75" thickTop="1" x14ac:dyDescent="0.25">
      <c r="B81" s="2"/>
      <c r="H81" s="40"/>
    </row>
    <row r="82" spans="1:8" ht="15.75" thickBot="1" x14ac:dyDescent="0.3">
      <c r="B82" s="10"/>
      <c r="C82" s="11"/>
      <c r="D82" s="11"/>
      <c r="E82" s="11"/>
      <c r="F82" s="11"/>
      <c r="G82" s="11"/>
      <c r="H82" s="47"/>
    </row>
    <row r="84" spans="1:8" x14ac:dyDescent="0.25">
      <c r="A84" s="53" t="s">
        <v>42</v>
      </c>
      <c r="B84" s="54"/>
    </row>
    <row r="85" spans="1:8" x14ac:dyDescent="0.25">
      <c r="A85" s="52" t="s">
        <v>43</v>
      </c>
      <c r="B85" s="55"/>
    </row>
    <row r="86" spans="1:8" x14ac:dyDescent="0.25">
      <c r="B86" s="22"/>
    </row>
    <row r="87" spans="1:8" x14ac:dyDescent="0.25">
      <c r="A87" t="s">
        <v>56</v>
      </c>
      <c r="B87" s="75">
        <f>+F71</f>
        <v>0.62908975907825138</v>
      </c>
      <c r="C87" t="s">
        <v>68</v>
      </c>
    </row>
    <row r="88" spans="1:8" x14ac:dyDescent="0.25">
      <c r="B88" s="22"/>
    </row>
    <row r="89" spans="1:8" x14ac:dyDescent="0.25">
      <c r="A89" t="s">
        <v>62</v>
      </c>
    </row>
    <row r="90" spans="1:8" x14ac:dyDescent="0.25">
      <c r="B90" s="22"/>
    </row>
  </sheetData>
  <mergeCells count="9">
    <mergeCell ref="C73:C74"/>
    <mergeCell ref="G73:H73"/>
    <mergeCell ref="G72:H72"/>
    <mergeCell ref="G74:H74"/>
    <mergeCell ref="B2:H2"/>
    <mergeCell ref="B13:H13"/>
    <mergeCell ref="B27:H27"/>
    <mergeCell ref="B42:H42"/>
    <mergeCell ref="B57:H57"/>
  </mergeCells>
  <pageMargins left="0.70866141732283472" right="0.70866141732283472" top="0.74803149606299213" bottom="0.74803149606299213" header="0.31496062992125984" footer="0.31496062992125984"/>
  <pageSetup scale="57" orientation="landscape" r:id="rId1"/>
  <headerFooter>
    <oddFooter>&amp;L&amp;Z
&amp;F&amp;C&amp;A&amp;R&amp;D
&amp;T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76C1E-B1BD-4916-A5AC-0F88B4EBEE14}">
  <dimension ref="A1:N92"/>
  <sheetViews>
    <sheetView zoomScaleNormal="100" workbookViewId="0">
      <selection activeCell="H65" sqref="H65"/>
    </sheetView>
  </sheetViews>
  <sheetFormatPr baseColWidth="10" defaultColWidth="11.5703125" defaultRowHeight="15" outlineLevelRow="1" x14ac:dyDescent="0.25"/>
  <cols>
    <col min="1" max="1" width="24.28515625" customWidth="1"/>
    <col min="2" max="2" width="12.42578125" customWidth="1"/>
    <col min="3" max="3" width="13.7109375" bestFit="1" customWidth="1"/>
    <col min="5" max="6" width="15.28515625" bestFit="1" customWidth="1"/>
    <col min="7" max="7" width="11.7109375" bestFit="1" customWidth="1"/>
    <col min="8" max="8" width="12.28515625" bestFit="1" customWidth="1"/>
    <col min="9" max="9" width="3.28515625" customWidth="1"/>
    <col min="10" max="10" width="15.28515625" bestFit="1" customWidth="1"/>
    <col min="11" max="11" width="18.140625" customWidth="1"/>
    <col min="13" max="13" width="24.7109375" customWidth="1"/>
  </cols>
  <sheetData>
    <row r="1" spans="1:11" x14ac:dyDescent="0.25">
      <c r="A1" t="s">
        <v>9</v>
      </c>
    </row>
    <row r="2" spans="1:11" ht="31.15" hidden="1" customHeight="1" outlineLevel="1" thickBot="1" x14ac:dyDescent="0.3">
      <c r="A2" t="s">
        <v>0</v>
      </c>
      <c r="B2" s="257">
        <v>43830</v>
      </c>
      <c r="C2" s="258"/>
      <c r="D2" s="258"/>
      <c r="E2" s="258"/>
      <c r="F2" s="258"/>
      <c r="G2" s="258"/>
      <c r="H2" s="259"/>
      <c r="J2" s="14">
        <v>43465</v>
      </c>
      <c r="K2" s="19" t="s">
        <v>6</v>
      </c>
    </row>
    <row r="3" spans="1:11" ht="30" hidden="1" outlineLevel="1" x14ac:dyDescent="0.25">
      <c r="B3" s="2" t="str">
        <f>+[1]MTM!$E$42</f>
        <v>Date de transaction</v>
      </c>
      <c r="C3" s="3" t="str">
        <f>+[1]MTM!$F$42</f>
        <v>Date de début</v>
      </c>
      <c r="D3" s="3" t="str">
        <f>+[1]MTM!$G$42</f>
        <v>Échéance</v>
      </c>
      <c r="E3" s="3" t="str">
        <f>+[1]MTM!$I$42</f>
        <v>Nominal initial du contrat</v>
      </c>
      <c r="F3" s="3" t="str">
        <f>+[1]MTM!$J$42</f>
        <v>Nominal restant</v>
      </c>
      <c r="G3" s="21" t="s">
        <v>10</v>
      </c>
      <c r="H3" s="4" t="str">
        <f>+[1]MTM!$O$42</f>
        <v>Valeur indicative*</v>
      </c>
      <c r="J3" s="15" t="str">
        <f>+[1]MTM!$O$42</f>
        <v>Valeur indicative*</v>
      </c>
    </row>
    <row r="4" spans="1:11" hidden="1" outlineLevel="1" x14ac:dyDescent="0.25">
      <c r="A4" t="s">
        <v>1</v>
      </c>
      <c r="B4" s="5">
        <v>42821</v>
      </c>
      <c r="C4" s="6">
        <v>42821</v>
      </c>
      <c r="D4" s="6">
        <v>44281</v>
      </c>
      <c r="E4" s="7">
        <v>766756</v>
      </c>
      <c r="F4" s="7">
        <v>530199</v>
      </c>
      <c r="G4" s="8" t="e">
        <f>+[1]!TableIRD[Taux/ Rate]/100</f>
        <v>#REF!</v>
      </c>
      <c r="H4" s="9" t="e">
        <f>+[1]!TableIRD[Valeur Indicative*/ Indicative Value *]</f>
        <v>#REF!</v>
      </c>
      <c r="J4" s="16">
        <v>-8124.27</v>
      </c>
      <c r="K4">
        <v>4213</v>
      </c>
    </row>
    <row r="5" spans="1:11" hidden="1" outlineLevel="1" x14ac:dyDescent="0.25">
      <c r="A5" t="s">
        <v>2</v>
      </c>
      <c r="B5" s="5">
        <v>41061</v>
      </c>
      <c r="C5" s="6">
        <v>43430</v>
      </c>
      <c r="D5" s="6">
        <v>44526</v>
      </c>
      <c r="E5" s="7">
        <v>16834462</v>
      </c>
      <c r="F5" s="7">
        <v>16322594</v>
      </c>
      <c r="G5" s="8" t="e">
        <f>+[2]!TableIRD[Taux/ Rate]/100</f>
        <v>#REF!</v>
      </c>
      <c r="H5" s="9" t="e">
        <f>+[2]!TableIRD[Valeur Indicative*/ Indicative Value *]</f>
        <v>#REF!</v>
      </c>
      <c r="J5" s="16">
        <v>25939.91</v>
      </c>
    </row>
    <row r="6" spans="1:11" hidden="1" outlineLevel="1" x14ac:dyDescent="0.25">
      <c r="A6" t="s">
        <v>3</v>
      </c>
      <c r="B6" s="5">
        <v>41514</v>
      </c>
      <c r="C6" s="6">
        <v>43434</v>
      </c>
      <c r="D6" s="6">
        <v>45442</v>
      </c>
      <c r="E6" s="7">
        <f>+[3]MTM!I44</f>
        <v>7172462.8499999996</v>
      </c>
      <c r="F6" s="7">
        <f>+[3]MTM!J44</f>
        <v>6682927.7000000002</v>
      </c>
      <c r="G6" s="8">
        <f>+[3]MTM!K44/100</f>
        <v>3.4000000000000002E-2</v>
      </c>
      <c r="H6" s="9">
        <f>+[3]MTM!O44</f>
        <v>332057.47367899999</v>
      </c>
      <c r="J6" s="16">
        <v>348277.56</v>
      </c>
    </row>
    <row r="7" spans="1:11" hidden="1" outlineLevel="1" x14ac:dyDescent="0.25">
      <c r="A7" t="s">
        <v>3</v>
      </c>
      <c r="B7" s="5">
        <v>41663</v>
      </c>
      <c r="C7" s="6">
        <v>43434</v>
      </c>
      <c r="D7" s="6">
        <v>45442</v>
      </c>
      <c r="E7" s="7">
        <f>+[3]MTM!I45</f>
        <v>4402703.46</v>
      </c>
      <c r="F7" s="7">
        <f>+[3]MTM!J45</f>
        <v>4095167.49</v>
      </c>
      <c r="G7" s="8">
        <f>+[3]MTM!K45/100</f>
        <v>0.03</v>
      </c>
      <c r="H7" s="9">
        <f>+[3]MTM!O45</f>
        <v>144551.142414</v>
      </c>
      <c r="J7" s="16">
        <v>139218.39000000001</v>
      </c>
    </row>
    <row r="8" spans="1:11" hidden="1" outlineLevel="1" x14ac:dyDescent="0.25">
      <c r="A8" t="s">
        <v>3</v>
      </c>
      <c r="B8" s="5">
        <v>41716</v>
      </c>
      <c r="C8" s="6">
        <v>41789</v>
      </c>
      <c r="D8" s="6">
        <v>45442</v>
      </c>
      <c r="E8" s="7">
        <f>+[3]MTM!I46</f>
        <v>7912500</v>
      </c>
      <c r="F8" s="7">
        <f>+[3]MTM!J46</f>
        <v>5878403.1799999997</v>
      </c>
      <c r="G8" s="8">
        <f>+[3]MTM!K46/100</f>
        <v>2.8999999999999998E-2</v>
      </c>
      <c r="H8" s="9">
        <f>+[3]MTM!O46</f>
        <v>186249.01923800001</v>
      </c>
      <c r="J8" s="16">
        <v>173283.54</v>
      </c>
    </row>
    <row r="9" spans="1:11" hidden="1" outlineLevel="1" x14ac:dyDescent="0.25">
      <c r="A9" t="s">
        <v>4</v>
      </c>
      <c r="B9" s="5">
        <v>43249</v>
      </c>
      <c r="C9" s="6">
        <v>43430</v>
      </c>
      <c r="D9" s="6">
        <v>45072</v>
      </c>
      <c r="E9" s="7">
        <f>+[4]MTM!I44</f>
        <v>13194518.01</v>
      </c>
      <c r="F9" s="7">
        <f>+[4]MTM!J44</f>
        <v>12854500.210000001</v>
      </c>
      <c r="G9" s="8">
        <f>+[4]MTM!K44/100</f>
        <v>2.69E-2</v>
      </c>
      <c r="H9" s="9">
        <f>+[4]MTM!O44</f>
        <v>283708.78010899998</v>
      </c>
      <c r="J9" s="16">
        <v>247739.76</v>
      </c>
    </row>
    <row r="10" spans="1:11" hidden="1" outlineLevel="1" x14ac:dyDescent="0.25">
      <c r="A10" t="s">
        <v>5</v>
      </c>
      <c r="B10" s="5">
        <v>43249</v>
      </c>
      <c r="C10" s="6">
        <v>43430</v>
      </c>
      <c r="D10" s="6">
        <v>50551</v>
      </c>
      <c r="E10" s="7">
        <f>+[4]MTM!I45</f>
        <v>21557728.260000002</v>
      </c>
      <c r="F10" s="7">
        <f>+[4]MTM!J45</f>
        <v>21048899.620000001</v>
      </c>
      <c r="G10" s="8">
        <f>+[4]MTM!K45/100</f>
        <v>2.9399999999999999E-2</v>
      </c>
      <c r="H10" s="9">
        <f>+[4]MTM!O45</f>
        <v>1687701.4754550001</v>
      </c>
      <c r="J10" s="16">
        <v>943238.22</v>
      </c>
    </row>
    <row r="11" spans="1:11" ht="15.75" hidden="1" outlineLevel="1" thickBot="1" x14ac:dyDescent="0.3">
      <c r="B11" s="10"/>
      <c r="C11" s="11"/>
      <c r="D11" s="11"/>
      <c r="E11" s="12"/>
      <c r="F11" s="12"/>
      <c r="G11" s="12"/>
      <c r="H11" s="13" t="e">
        <f>SUM(H4:H10)</f>
        <v>#REF!</v>
      </c>
      <c r="J11" s="17">
        <f>SUM(J4:J10)</f>
        <v>1869573.1099999999</v>
      </c>
    </row>
    <row r="12" spans="1:11" ht="15.75" hidden="1" outlineLevel="1" thickBot="1" x14ac:dyDescent="0.3">
      <c r="E12" s="1"/>
      <c r="F12" s="1"/>
      <c r="G12" s="1"/>
      <c r="H12" s="1"/>
    </row>
    <row r="13" spans="1:11" ht="15.75" hidden="1" outlineLevel="1" thickBot="1" x14ac:dyDescent="0.3">
      <c r="A13" t="s">
        <v>0</v>
      </c>
      <c r="B13" s="257">
        <v>43906</v>
      </c>
      <c r="C13" s="258"/>
      <c r="D13" s="258"/>
      <c r="E13" s="258"/>
      <c r="F13" s="258"/>
      <c r="G13" s="258"/>
      <c r="H13" s="259"/>
    </row>
    <row r="14" spans="1:11" ht="30" hidden="1" outlineLevel="1" x14ac:dyDescent="0.25">
      <c r="B14" s="2" t="str">
        <f>+[1]MTM!$E$42</f>
        <v>Date de transaction</v>
      </c>
      <c r="C14" s="3" t="str">
        <f>+[1]MTM!$F$42</f>
        <v>Date de début</v>
      </c>
      <c r="D14" s="3" t="str">
        <f>+[1]MTM!$G$42</f>
        <v>Échéance</v>
      </c>
      <c r="E14" s="3" t="str">
        <f>+[1]MTM!$I$42</f>
        <v>Nominal initial du contrat</v>
      </c>
      <c r="F14" s="3" t="str">
        <f>+[1]MTM!$J$42</f>
        <v>Nominal restant</v>
      </c>
      <c r="G14" s="21" t="str">
        <f>+$G$3</f>
        <v>Taux Swap</v>
      </c>
      <c r="H14" s="4" t="str">
        <f>+[1]MTM!$O$42</f>
        <v>Valeur indicative*</v>
      </c>
    </row>
    <row r="15" spans="1:11" hidden="1" outlineLevel="1" x14ac:dyDescent="0.25">
      <c r="A15" t="s">
        <v>1</v>
      </c>
      <c r="B15" s="5">
        <v>42821</v>
      </c>
      <c r="C15" s="6">
        <v>42821</v>
      </c>
      <c r="D15" s="6">
        <v>44281</v>
      </c>
      <c r="E15" s="7">
        <f>+E4</f>
        <v>766756</v>
      </c>
      <c r="F15" s="7">
        <v>515028</v>
      </c>
      <c r="G15" s="8">
        <v>1.49E-2</v>
      </c>
      <c r="H15" s="9">
        <v>4213</v>
      </c>
      <c r="J15" s="20"/>
    </row>
    <row r="16" spans="1:11" hidden="1" outlineLevel="1" x14ac:dyDescent="0.25">
      <c r="A16" t="s">
        <v>2</v>
      </c>
      <c r="B16" s="5">
        <v>41061</v>
      </c>
      <c r="C16" s="6">
        <v>43430</v>
      </c>
      <c r="D16" s="6">
        <v>44526</v>
      </c>
      <c r="E16" s="7">
        <f t="shared" ref="E16:E21" si="0">+E5</f>
        <v>16834462</v>
      </c>
      <c r="F16" s="7">
        <v>16241895</v>
      </c>
      <c r="G16" s="8">
        <v>2.2499999999999999E-2</v>
      </c>
      <c r="H16" s="9">
        <v>438758</v>
      </c>
    </row>
    <row r="17" spans="1:12" hidden="1" outlineLevel="1" x14ac:dyDescent="0.25">
      <c r="A17" t="s">
        <v>3</v>
      </c>
      <c r="B17" s="5">
        <v>41514</v>
      </c>
      <c r="C17" s="6">
        <v>43434</v>
      </c>
      <c r="D17" s="6">
        <v>45442</v>
      </c>
      <c r="E17" s="7">
        <f t="shared" si="0"/>
        <v>7172462.8499999996</v>
      </c>
      <c r="F17" s="7">
        <v>6604038</v>
      </c>
      <c r="G17" s="8">
        <v>3.4000000000000002E-2</v>
      </c>
      <c r="H17" s="9">
        <v>593380</v>
      </c>
    </row>
    <row r="18" spans="1:12" hidden="1" outlineLevel="1" x14ac:dyDescent="0.25">
      <c r="A18" t="s">
        <v>3</v>
      </c>
      <c r="B18" s="5">
        <v>41663</v>
      </c>
      <c r="C18" s="6">
        <v>43434</v>
      </c>
      <c r="D18" s="6">
        <v>45442</v>
      </c>
      <c r="E18" s="7">
        <f t="shared" si="0"/>
        <v>4402703.46</v>
      </c>
      <c r="F18" s="7">
        <v>4045774</v>
      </c>
      <c r="G18" s="8">
        <v>0.03</v>
      </c>
      <c r="H18" s="9">
        <v>305037</v>
      </c>
    </row>
    <row r="19" spans="1:12" hidden="1" outlineLevel="1" x14ac:dyDescent="0.25">
      <c r="A19" t="s">
        <v>3</v>
      </c>
      <c r="B19" s="5">
        <v>41716</v>
      </c>
      <c r="C19" s="6">
        <v>41789</v>
      </c>
      <c r="D19" s="6">
        <v>45442</v>
      </c>
      <c r="E19" s="7">
        <f t="shared" si="0"/>
        <v>7912500</v>
      </c>
      <c r="F19" s="7">
        <v>5806253</v>
      </c>
      <c r="G19" s="8">
        <v>2.9000000000000001E-2</v>
      </c>
      <c r="H19" s="9">
        <v>416842</v>
      </c>
    </row>
    <row r="20" spans="1:12" hidden="1" outlineLevel="1" x14ac:dyDescent="0.25">
      <c r="A20" t="s">
        <v>4</v>
      </c>
      <c r="B20" s="5">
        <v>43249</v>
      </c>
      <c r="C20" s="6">
        <v>43430</v>
      </c>
      <c r="D20" s="6">
        <v>45072</v>
      </c>
      <c r="E20" s="7">
        <f t="shared" si="0"/>
        <v>13194518.01</v>
      </c>
      <c r="F20" s="7">
        <v>12800855</v>
      </c>
      <c r="G20" s="8">
        <v>2.69E-2</v>
      </c>
      <c r="H20" s="9">
        <v>742735</v>
      </c>
      <c r="I20" s="18"/>
      <c r="J20" s="18"/>
      <c r="K20" s="18"/>
      <c r="L20" s="18"/>
    </row>
    <row r="21" spans="1:12" hidden="1" outlineLevel="1" x14ac:dyDescent="0.25">
      <c r="A21" t="s">
        <v>5</v>
      </c>
      <c r="B21" s="5">
        <v>43249</v>
      </c>
      <c r="C21" s="6">
        <v>43430</v>
      </c>
      <c r="D21" s="6">
        <v>50551</v>
      </c>
      <c r="E21" s="7">
        <f t="shared" si="0"/>
        <v>21557728.260000002</v>
      </c>
      <c r="F21" s="7">
        <v>20968416</v>
      </c>
      <c r="G21" s="8">
        <v>2.9399999999999999E-2</v>
      </c>
      <c r="H21" s="9">
        <v>4386836</v>
      </c>
    </row>
    <row r="22" spans="1:12" ht="15.75" hidden="1" outlineLevel="1" thickBot="1" x14ac:dyDescent="0.3">
      <c r="B22" s="10"/>
      <c r="C22" s="11"/>
      <c r="D22" s="11"/>
      <c r="E22" s="12"/>
      <c r="F22" s="12"/>
      <c r="G22" s="12"/>
      <c r="H22" s="13">
        <f>SUM(H15:H21)</f>
        <v>6887801</v>
      </c>
    </row>
    <row r="23" spans="1:12" hidden="1" outlineLevel="1" x14ac:dyDescent="0.25"/>
    <row r="24" spans="1:12" hidden="1" outlineLevel="1" x14ac:dyDescent="0.25">
      <c r="A24" t="s">
        <v>7</v>
      </c>
      <c r="H24" s="20" t="e">
        <f>+H22-$H$11</f>
        <v>#REF!</v>
      </c>
      <c r="J24" s="20"/>
    </row>
    <row r="25" spans="1:12" hidden="1" outlineLevel="1" x14ac:dyDescent="0.25">
      <c r="J25" s="20"/>
    </row>
    <row r="26" spans="1:12" ht="15.75" hidden="1" outlineLevel="1" thickBot="1" x14ac:dyDescent="0.3"/>
    <row r="27" spans="1:12" ht="15.75" hidden="1" outlineLevel="1" thickBot="1" x14ac:dyDescent="0.3">
      <c r="A27" t="s">
        <v>0</v>
      </c>
      <c r="B27" s="257">
        <v>43921</v>
      </c>
      <c r="C27" s="258"/>
      <c r="D27" s="258"/>
      <c r="E27" s="258"/>
      <c r="F27" s="258"/>
      <c r="G27" s="258"/>
      <c r="H27" s="259"/>
    </row>
    <row r="28" spans="1:12" ht="30" hidden="1" outlineLevel="1" x14ac:dyDescent="0.25">
      <c r="B28" s="2" t="str">
        <f>+[1]MTM!$E$42</f>
        <v>Date de transaction</v>
      </c>
      <c r="C28" s="3" t="str">
        <f>+[1]MTM!$F$42</f>
        <v>Date de début</v>
      </c>
      <c r="D28" s="3" t="str">
        <f>+[1]MTM!$G$42</f>
        <v>Échéance</v>
      </c>
      <c r="E28" s="3" t="str">
        <f>+[1]MTM!$I$42</f>
        <v>Nominal initial du contrat</v>
      </c>
      <c r="F28" s="3" t="str">
        <f>+[1]MTM!$J$42</f>
        <v>Nominal restant</v>
      </c>
      <c r="G28" s="21" t="str">
        <f>+$G$3</f>
        <v>Taux Swap</v>
      </c>
      <c r="H28" s="4" t="str">
        <f>+[1]MTM!$O$42</f>
        <v>Valeur indicative*</v>
      </c>
    </row>
    <row r="29" spans="1:12" hidden="1" outlineLevel="1" x14ac:dyDescent="0.25">
      <c r="A29" t="s">
        <v>1</v>
      </c>
      <c r="B29" s="5">
        <v>42821</v>
      </c>
      <c r="C29" s="6">
        <v>42821</v>
      </c>
      <c r="D29" s="6">
        <v>44281</v>
      </c>
      <c r="E29" s="7">
        <f>+E15</f>
        <v>766756</v>
      </c>
      <c r="F29" s="7">
        <v>507321</v>
      </c>
      <c r="G29" s="8">
        <v>1.49E-2</v>
      </c>
      <c r="H29" s="9" t="e" cm="1">
        <f t="array" ref="H29">+[5]!TableIRD[Valeur Indicative*/ Indicative Value *]</f>
        <v>#REF!</v>
      </c>
    </row>
    <row r="30" spans="1:12" hidden="1" outlineLevel="1" x14ac:dyDescent="0.25">
      <c r="A30" t="s">
        <v>2</v>
      </c>
      <c r="B30" s="5">
        <v>41061</v>
      </c>
      <c r="C30" s="6">
        <v>43430</v>
      </c>
      <c r="D30" s="6">
        <v>43430</v>
      </c>
      <c r="E30" s="7">
        <f>+E16</f>
        <v>16834462</v>
      </c>
      <c r="F30" s="7">
        <v>16198490</v>
      </c>
      <c r="G30" s="8" t="e" cm="1">
        <f t="array" ref="G30">+[6]!TableIRD[Taux/ Rate]/100</f>
        <v>#REF!</v>
      </c>
      <c r="H30" s="9" t="e" cm="1">
        <f t="array" ref="H30">+[6]!TableIRD[Valeur Indicative*/ Indicative Value *]</f>
        <v>#REF!</v>
      </c>
    </row>
    <row r="31" spans="1:12" hidden="1" outlineLevel="1" x14ac:dyDescent="0.25">
      <c r="A31" t="s">
        <v>3</v>
      </c>
      <c r="B31" s="5">
        <v>41514</v>
      </c>
      <c r="C31" s="6">
        <v>43434</v>
      </c>
      <c r="D31" s="6">
        <v>45442</v>
      </c>
      <c r="E31" s="7">
        <f>+[7]MTM!$I$44</f>
        <v>7172462.8499999996</v>
      </c>
      <c r="F31" s="7">
        <f>+[7]MTM!$J$44</f>
        <v>6565361.5700000003</v>
      </c>
      <c r="G31" s="8">
        <f>+[7]MTM!$K$44/100</f>
        <v>3.4000000000000002E-2</v>
      </c>
      <c r="H31" s="9">
        <f>+[7]MTM!$O$44</f>
        <v>580658.52545900003</v>
      </c>
      <c r="J31" s="20"/>
    </row>
    <row r="32" spans="1:12" hidden="1" outlineLevel="1" x14ac:dyDescent="0.25">
      <c r="A32" t="s">
        <v>3</v>
      </c>
      <c r="B32" s="5">
        <v>41663</v>
      </c>
      <c r="C32" s="6">
        <v>43434</v>
      </c>
      <c r="D32" s="6">
        <v>45442</v>
      </c>
      <c r="E32" s="7">
        <f>+[7]MTM!$I$45</f>
        <v>4402703.46</v>
      </c>
      <c r="F32" s="7">
        <f>+[7]MTM!$J$45</f>
        <v>4021511.53</v>
      </c>
      <c r="G32" s="8">
        <f>+[7]MTM!$K$45/100</f>
        <v>0.03</v>
      </c>
      <c r="H32" s="9">
        <f>+[7]MTM!$O$45</f>
        <v>298646.94936199998</v>
      </c>
    </row>
    <row r="33" spans="1:10" hidden="1" outlineLevel="1" x14ac:dyDescent="0.25">
      <c r="A33" t="s">
        <v>3</v>
      </c>
      <c r="B33" s="5">
        <v>41716</v>
      </c>
      <c r="C33" s="6">
        <v>41789</v>
      </c>
      <c r="D33" s="6">
        <v>45442</v>
      </c>
      <c r="E33" s="7">
        <f>+[7]MTM!$I$46</f>
        <v>7912500</v>
      </c>
      <c r="F33" s="7">
        <f>+[7]MTM!$J$46</f>
        <v>5772065.1100000003</v>
      </c>
      <c r="G33" s="8">
        <f>+[7]MTM!$K$46/100</f>
        <v>2.8999999999999998E-2</v>
      </c>
      <c r="H33" s="9">
        <f>+[7]MTM!$O$46</f>
        <v>408092.17353500001</v>
      </c>
    </row>
    <row r="34" spans="1:10" hidden="1" outlineLevel="1" x14ac:dyDescent="0.25">
      <c r="A34" t="s">
        <v>4</v>
      </c>
      <c r="B34" s="5">
        <v>43249</v>
      </c>
      <c r="C34" s="6">
        <v>43430</v>
      </c>
      <c r="D34" s="6">
        <v>45072</v>
      </c>
      <c r="E34" s="7">
        <f>+[8]MTM!$I$44</f>
        <v>13194518.01</v>
      </c>
      <c r="F34" s="7">
        <f>+[8]MTM!$J$44</f>
        <v>12771647.140000001</v>
      </c>
      <c r="G34" s="8">
        <f>+[8]MTM!$K$44/100</f>
        <v>2.69E-2</v>
      </c>
      <c r="H34" s="9">
        <f>+[8]MTM!$O$44</f>
        <v>725888.72642099997</v>
      </c>
    </row>
    <row r="35" spans="1:10" hidden="1" outlineLevel="1" x14ac:dyDescent="0.25">
      <c r="A35" t="s">
        <v>5</v>
      </c>
      <c r="B35" s="5">
        <v>43249</v>
      </c>
      <c r="C35" s="6">
        <v>43430</v>
      </c>
      <c r="D35" s="6">
        <v>50551</v>
      </c>
      <c r="E35" s="7">
        <f>+[8]MTM!$I$45</f>
        <v>21557728.260000002</v>
      </c>
      <c r="F35" s="7">
        <f>+[8]MTM!$J$45</f>
        <v>20923663.690000001</v>
      </c>
      <c r="G35" s="8">
        <f>+[8]MTM!$K$45/100</f>
        <v>2.9399999999999999E-2</v>
      </c>
      <c r="H35" s="9">
        <f>+[8]MTM!$O$45</f>
        <v>4198905.0957779996</v>
      </c>
    </row>
    <row r="36" spans="1:10" ht="15.75" hidden="1" outlineLevel="1" thickBot="1" x14ac:dyDescent="0.3">
      <c r="B36" s="10"/>
      <c r="C36" s="11"/>
      <c r="D36" s="11"/>
      <c r="E36" s="12"/>
      <c r="F36" s="12"/>
      <c r="G36" s="12"/>
      <c r="H36" s="13" t="e">
        <f>SUM(H29:H35)</f>
        <v>#REF!</v>
      </c>
    </row>
    <row r="37" spans="1:10" hidden="1" outlineLevel="1" x14ac:dyDescent="0.25"/>
    <row r="38" spans="1:10" hidden="1" outlineLevel="1" x14ac:dyDescent="0.25">
      <c r="A38" t="s">
        <v>7</v>
      </c>
      <c r="H38" s="20" t="e">
        <f>+H36-$H$11</f>
        <v>#REF!</v>
      </c>
      <c r="J38" s="20"/>
    </row>
    <row r="39" spans="1:10" hidden="1" outlineLevel="1" x14ac:dyDescent="0.25">
      <c r="A39" t="s">
        <v>8</v>
      </c>
      <c r="H39" s="20" t="e">
        <f>+H36-H22</f>
        <v>#REF!</v>
      </c>
    </row>
    <row r="40" spans="1:10" hidden="1" outlineLevel="1" x14ac:dyDescent="0.25"/>
    <row r="41" spans="1:10" ht="15.75" hidden="1" outlineLevel="1" thickBot="1" x14ac:dyDescent="0.3"/>
    <row r="42" spans="1:10" ht="15.75" hidden="1" outlineLevel="1" thickBot="1" x14ac:dyDescent="0.3">
      <c r="A42" t="s">
        <v>0</v>
      </c>
      <c r="B42" s="257">
        <v>44012</v>
      </c>
      <c r="C42" s="258"/>
      <c r="D42" s="258"/>
      <c r="E42" s="258"/>
      <c r="F42" s="258"/>
      <c r="G42" s="258"/>
      <c r="H42" s="259"/>
    </row>
    <row r="43" spans="1:10" ht="30" hidden="1" outlineLevel="1" x14ac:dyDescent="0.25">
      <c r="B43" s="2" t="str">
        <f>+[1]MTM!$E$42</f>
        <v>Date de transaction</v>
      </c>
      <c r="C43" s="3" t="str">
        <f>+[1]MTM!$F$42</f>
        <v>Date de début</v>
      </c>
      <c r="D43" s="3" t="str">
        <f>+[1]MTM!$G$42</f>
        <v>Échéance</v>
      </c>
      <c r="E43" s="3" t="str">
        <f>+[1]MTM!$I$42</f>
        <v>Nominal initial du contrat</v>
      </c>
      <c r="F43" s="3" t="str">
        <f>+[1]MTM!$J$42</f>
        <v>Nominal restant</v>
      </c>
      <c r="G43" s="21" t="str">
        <f>+$G$3</f>
        <v>Taux Swap</v>
      </c>
      <c r="H43" s="4" t="str">
        <f>+[1]MTM!$O$42</f>
        <v>Valeur indicative*</v>
      </c>
    </row>
    <row r="44" spans="1:10" hidden="1" outlineLevel="1" x14ac:dyDescent="0.25">
      <c r="A44" t="s">
        <v>1</v>
      </c>
      <c r="B44" s="5">
        <v>42821</v>
      </c>
      <c r="C44" s="6">
        <v>42821</v>
      </c>
      <c r="D44" s="6">
        <v>44281</v>
      </c>
      <c r="E44" s="7">
        <f>+E29</f>
        <v>766756</v>
      </c>
      <c r="F44" s="7">
        <f>+'[9]Des Pommetriers '!$D$52</f>
        <v>484326.08342378197</v>
      </c>
      <c r="G44" s="8">
        <v>1.49E-2</v>
      </c>
      <c r="H44" s="9"/>
    </row>
    <row r="45" spans="1:10" hidden="1" outlineLevel="1" x14ac:dyDescent="0.25">
      <c r="A45" t="s">
        <v>2</v>
      </c>
      <c r="B45" s="5">
        <v>41061</v>
      </c>
      <c r="C45" s="6">
        <v>43430</v>
      </c>
      <c r="D45" s="6">
        <v>44526</v>
      </c>
      <c r="E45" s="7">
        <f t="shared" ref="E45:E50" si="1">+E30</f>
        <v>16834462</v>
      </c>
      <c r="F45" s="7">
        <v>16076844</v>
      </c>
      <c r="G45" s="8" t="e" cm="1">
        <f t="array" ref="G45">+[6]!TableIRD[Taux/ Rate]/100</f>
        <v>#REF!</v>
      </c>
      <c r="H45" s="9" t="e" cm="1">
        <f t="array" ref="H45">+[10]!TableIRD[Valeur Indicative*/ Indicative Value *]</f>
        <v>#REF!</v>
      </c>
    </row>
    <row r="46" spans="1:10" hidden="1" outlineLevel="1" x14ac:dyDescent="0.25">
      <c r="A46" t="s">
        <v>3</v>
      </c>
      <c r="B46" s="5">
        <v>41514</v>
      </c>
      <c r="C46" s="6">
        <v>43434</v>
      </c>
      <c r="D46" s="6">
        <v>45442</v>
      </c>
      <c r="E46" s="7">
        <f t="shared" si="1"/>
        <v>7172462.8499999996</v>
      </c>
      <c r="F46" s="7">
        <f>+[11]MTM!$J$44</f>
        <v>6447111.8200000003</v>
      </c>
      <c r="G46" s="8">
        <f>+[7]MTM!$K$44/100</f>
        <v>3.4000000000000002E-2</v>
      </c>
      <c r="H46" s="9">
        <f>+[11]MTM!$O$44</f>
        <v>583399.57435899996</v>
      </c>
    </row>
    <row r="47" spans="1:10" hidden="1" outlineLevel="1" x14ac:dyDescent="0.25">
      <c r="A47" t="s">
        <v>3</v>
      </c>
      <c r="B47" s="5">
        <v>41663</v>
      </c>
      <c r="C47" s="6">
        <v>43434</v>
      </c>
      <c r="D47" s="6">
        <v>45442</v>
      </c>
      <c r="E47" s="7">
        <f t="shared" si="1"/>
        <v>4402703.46</v>
      </c>
      <c r="F47" s="7">
        <f>+[11]MTM!$J$45</f>
        <v>3947443.21</v>
      </c>
      <c r="G47" s="8">
        <f>+[7]MTM!$K$45/100</f>
        <v>0.03</v>
      </c>
      <c r="H47" s="9">
        <f>+[11]MTM!$O$45</f>
        <v>304134.14674599998</v>
      </c>
    </row>
    <row r="48" spans="1:10" hidden="1" outlineLevel="1" x14ac:dyDescent="0.25">
      <c r="A48" t="s">
        <v>3</v>
      </c>
      <c r="B48" s="5">
        <v>41716</v>
      </c>
      <c r="C48" s="6">
        <v>41789</v>
      </c>
      <c r="D48" s="6">
        <v>45442</v>
      </c>
      <c r="E48" s="7">
        <f t="shared" si="1"/>
        <v>7912500</v>
      </c>
      <c r="F48" s="7">
        <f>+[11]MTM!$J$46</f>
        <v>5664293.5599999996</v>
      </c>
      <c r="G48" s="8">
        <f>+[7]MTM!$K$46/100</f>
        <v>2.8999999999999998E-2</v>
      </c>
      <c r="H48" s="9">
        <f>+[11]MTM!$O$46</f>
        <v>417479.71102599998</v>
      </c>
    </row>
    <row r="49" spans="1:14" hidden="1" outlineLevel="1" x14ac:dyDescent="0.25">
      <c r="A49" t="s">
        <v>4</v>
      </c>
      <c r="B49" s="5">
        <v>43249</v>
      </c>
      <c r="C49" s="6">
        <v>43430</v>
      </c>
      <c r="D49" s="6">
        <v>45072</v>
      </c>
      <c r="E49" s="7">
        <f t="shared" si="1"/>
        <v>13194518.01</v>
      </c>
      <c r="F49" s="7">
        <f>+[12]MTM!$J$44</f>
        <v>12690936.970000001</v>
      </c>
      <c r="G49" s="8">
        <f>+[8]MTM!$K$44/100</f>
        <v>2.69E-2</v>
      </c>
      <c r="H49" s="9">
        <f>+[12]MTM!$O$44</f>
        <v>741853.46372500004</v>
      </c>
    </row>
    <row r="50" spans="1:14" hidden="1" outlineLevel="1" x14ac:dyDescent="0.25">
      <c r="A50" t="s">
        <v>5</v>
      </c>
      <c r="B50" s="5">
        <v>43249</v>
      </c>
      <c r="C50" s="6">
        <v>43430</v>
      </c>
      <c r="D50" s="6">
        <v>50551</v>
      </c>
      <c r="E50" s="7">
        <f t="shared" si="1"/>
        <v>21557728.260000002</v>
      </c>
      <c r="F50" s="7">
        <f>+[12]MTM!$J$45</f>
        <v>20802554.25</v>
      </c>
      <c r="G50" s="8">
        <f>+[8]MTM!$K$45/100</f>
        <v>2.9399999999999999E-2</v>
      </c>
      <c r="H50" s="9">
        <f>+[12]MTM!$O$45</f>
        <v>4379258.2147519998</v>
      </c>
    </row>
    <row r="51" spans="1:14" ht="15.75" hidden="1" outlineLevel="1" thickBot="1" x14ac:dyDescent="0.3">
      <c r="B51" s="10"/>
      <c r="C51" s="11"/>
      <c r="D51" s="11"/>
      <c r="E51" s="12"/>
      <c r="F51" s="12"/>
      <c r="G51" s="12"/>
      <c r="H51" s="13" t="e">
        <f>SUM(H44:H50)</f>
        <v>#REF!</v>
      </c>
    </row>
    <row r="52" spans="1:14" hidden="1" outlineLevel="1" x14ac:dyDescent="0.25"/>
    <row r="53" spans="1:14" hidden="1" outlineLevel="1" x14ac:dyDescent="0.25">
      <c r="A53" t="s">
        <v>7</v>
      </c>
      <c r="H53" s="20" t="e">
        <f>+H51-$H$11</f>
        <v>#REF!</v>
      </c>
    </row>
    <row r="54" spans="1:14" hidden="1" outlineLevel="1" x14ac:dyDescent="0.25">
      <c r="A54" t="s">
        <v>8</v>
      </c>
      <c r="H54" s="20" t="e">
        <f>+H51-H36</f>
        <v>#REF!</v>
      </c>
    </row>
    <row r="55" spans="1:14" hidden="1" outlineLevel="1" x14ac:dyDescent="0.25"/>
    <row r="56" spans="1:14" ht="15.75" collapsed="1" thickBot="1" x14ac:dyDescent="0.3"/>
    <row r="57" spans="1:14" ht="15.75" thickBot="1" x14ac:dyDescent="0.3">
      <c r="A57" t="s">
        <v>0</v>
      </c>
      <c r="B57" s="257" t="s">
        <v>33</v>
      </c>
      <c r="C57" s="258"/>
      <c r="D57" s="258"/>
      <c r="E57" s="258"/>
      <c r="F57" s="258"/>
      <c r="G57" s="258"/>
      <c r="H57" s="259"/>
    </row>
    <row r="58" spans="1:14" ht="30" x14ac:dyDescent="0.25">
      <c r="A58" s="24" t="s">
        <v>18</v>
      </c>
      <c r="B58" s="26" t="str">
        <f>+[1]MTM!$E$42</f>
        <v>Date de transaction</v>
      </c>
      <c r="C58" s="21" t="str">
        <f>+[1]MTM!$F$42</f>
        <v>Date de début</v>
      </c>
      <c r="D58" s="21" t="str">
        <f>+[1]MTM!$G$42</f>
        <v>Échéance</v>
      </c>
      <c r="E58" s="3" t="str">
        <f>+[1]MTM!$I$42</f>
        <v>Nominal initial du contrat</v>
      </c>
      <c r="F58" s="3" t="str">
        <f>+[1]MTM!$J$42</f>
        <v>Nominal restant</v>
      </c>
      <c r="G58" s="21" t="str">
        <f>+$G$3</f>
        <v>Taux Swap</v>
      </c>
      <c r="H58" s="28" t="str">
        <f>+[1]MTM!$O$42</f>
        <v>Valeur indicative*</v>
      </c>
      <c r="J58" s="3" t="s">
        <v>11</v>
      </c>
      <c r="K58" s="21" t="s">
        <v>15</v>
      </c>
      <c r="L58" s="21" t="s">
        <v>16</v>
      </c>
      <c r="N58" t="s">
        <v>32</v>
      </c>
    </row>
    <row r="59" spans="1:14" x14ac:dyDescent="0.25">
      <c r="A59" s="27" t="s">
        <v>1</v>
      </c>
      <c r="B59" s="5">
        <v>42821</v>
      </c>
      <c r="C59" s="6">
        <v>42821</v>
      </c>
      <c r="D59" s="6">
        <v>44281</v>
      </c>
      <c r="E59" s="7">
        <v>0</v>
      </c>
      <c r="F59" s="7">
        <v>0</v>
      </c>
      <c r="G59" s="32">
        <v>1.49E-2</v>
      </c>
      <c r="H59" s="9"/>
      <c r="J59" s="23" t="s">
        <v>12</v>
      </c>
      <c r="K59" s="25">
        <v>0</v>
      </c>
      <c r="L59" s="33">
        <f>+D59</f>
        <v>44281</v>
      </c>
      <c r="M59" t="s">
        <v>21</v>
      </c>
      <c r="N59" s="23" t="s">
        <v>27</v>
      </c>
    </row>
    <row r="60" spans="1:14" x14ac:dyDescent="0.25">
      <c r="A60" s="27" t="s">
        <v>2</v>
      </c>
      <c r="B60" s="5">
        <v>41061</v>
      </c>
      <c r="C60" s="6">
        <v>43430</v>
      </c>
      <c r="D60" s="49">
        <v>44526</v>
      </c>
      <c r="E60" s="7">
        <f t="shared" ref="E60:E65" si="2">+E45</f>
        <v>16834462</v>
      </c>
      <c r="F60" s="7">
        <v>15444875</v>
      </c>
      <c r="G60" s="32">
        <v>2.2499999999999999E-2</v>
      </c>
      <c r="H60" s="9">
        <v>46094.74</v>
      </c>
      <c r="J60" s="23" t="s">
        <v>13</v>
      </c>
      <c r="K60" s="25" t="s">
        <v>34</v>
      </c>
      <c r="L60" s="48">
        <f>+D60</f>
        <v>44526</v>
      </c>
      <c r="M60" t="s">
        <v>21</v>
      </c>
      <c r="N60" s="23" t="s">
        <v>28</v>
      </c>
    </row>
    <row r="61" spans="1:14" x14ac:dyDescent="0.25">
      <c r="A61" s="27" t="s">
        <v>3</v>
      </c>
      <c r="B61" s="5">
        <v>41514</v>
      </c>
      <c r="C61" s="6">
        <v>43434</v>
      </c>
      <c r="D61" s="49">
        <v>45442</v>
      </c>
      <c r="E61" s="7">
        <f t="shared" si="2"/>
        <v>7172462.8499999996</v>
      </c>
      <c r="F61" s="7">
        <v>5824988.7400000002</v>
      </c>
      <c r="G61" s="32">
        <f>+[7]MTM!$K$44/100</f>
        <v>3.4000000000000002E-2</v>
      </c>
      <c r="H61" s="9">
        <v>313476.98</v>
      </c>
      <c r="J61" s="23" t="s">
        <v>14</v>
      </c>
      <c r="K61" s="25" t="s">
        <v>35</v>
      </c>
      <c r="L61" s="48">
        <v>45443</v>
      </c>
      <c r="M61" t="s">
        <v>21</v>
      </c>
      <c r="N61" s="23" t="s">
        <v>29</v>
      </c>
    </row>
    <row r="62" spans="1:14" x14ac:dyDescent="0.25">
      <c r="A62" s="27" t="s">
        <v>3</v>
      </c>
      <c r="B62" s="5">
        <v>41663</v>
      </c>
      <c r="C62" s="6">
        <v>43434</v>
      </c>
      <c r="D62" s="49">
        <v>45442</v>
      </c>
      <c r="E62" s="7">
        <f t="shared" si="2"/>
        <v>4402703.46</v>
      </c>
      <c r="F62" s="7">
        <v>3559741.77</v>
      </c>
      <c r="G62" s="32">
        <f>+[7]MTM!$K$45/100</f>
        <v>0.03</v>
      </c>
      <c r="H62" s="9">
        <v>158070.79999999999</v>
      </c>
      <c r="J62" s="23" t="s">
        <v>14</v>
      </c>
      <c r="K62" s="25" t="s">
        <v>35</v>
      </c>
      <c r="L62" s="48">
        <f>+L61</f>
        <v>45443</v>
      </c>
      <c r="M62" t="s">
        <v>21</v>
      </c>
      <c r="N62" s="23" t="s">
        <v>29</v>
      </c>
    </row>
    <row r="63" spans="1:14" x14ac:dyDescent="0.25">
      <c r="A63" s="27" t="s">
        <v>3</v>
      </c>
      <c r="B63" s="5">
        <v>41716</v>
      </c>
      <c r="C63" s="6">
        <v>41789</v>
      </c>
      <c r="D63" s="49">
        <v>45442</v>
      </c>
      <c r="E63" s="7">
        <f t="shared" si="2"/>
        <v>7912500</v>
      </c>
      <c r="F63" s="7">
        <v>5105107.29</v>
      </c>
      <c r="G63" s="32">
        <f>+[7]MTM!$K$46/100</f>
        <v>2.8999999999999998E-2</v>
      </c>
      <c r="H63" s="9">
        <v>214775.11</v>
      </c>
      <c r="J63" s="23" t="s">
        <v>14</v>
      </c>
      <c r="K63" s="25" t="s">
        <v>35</v>
      </c>
      <c r="L63" s="48">
        <f>+L62</f>
        <v>45443</v>
      </c>
      <c r="M63" t="s">
        <v>21</v>
      </c>
      <c r="N63" s="23" t="s">
        <v>29</v>
      </c>
    </row>
    <row r="64" spans="1:14" x14ac:dyDescent="0.25">
      <c r="A64" s="27" t="s">
        <v>4</v>
      </c>
      <c r="B64" s="5">
        <v>43249</v>
      </c>
      <c r="C64" s="6">
        <v>43430</v>
      </c>
      <c r="D64" s="50">
        <v>45072</v>
      </c>
      <c r="E64" s="7">
        <f t="shared" si="2"/>
        <v>13194518.01</v>
      </c>
      <c r="F64" s="7">
        <v>12270794</v>
      </c>
      <c r="G64" s="32">
        <f>+[8]MTM!$K$44/100</f>
        <v>2.69E-2</v>
      </c>
      <c r="H64" s="9">
        <v>370687</v>
      </c>
      <c r="J64" s="23" t="s">
        <v>36</v>
      </c>
      <c r="K64" s="25" t="s">
        <v>37</v>
      </c>
      <c r="L64" s="51">
        <v>45281</v>
      </c>
      <c r="M64" t="s">
        <v>24</v>
      </c>
      <c r="N64" s="23" t="s">
        <v>31</v>
      </c>
    </row>
    <row r="65" spans="1:14" x14ac:dyDescent="0.25">
      <c r="A65" s="27" t="s">
        <v>5</v>
      </c>
      <c r="B65" s="5">
        <v>43249</v>
      </c>
      <c r="C65" s="6">
        <v>43430</v>
      </c>
      <c r="D65" s="50">
        <v>50551</v>
      </c>
      <c r="E65" s="7">
        <f t="shared" si="2"/>
        <v>21557728.260000002</v>
      </c>
      <c r="F65" s="7">
        <v>20168086</v>
      </c>
      <c r="G65" s="32">
        <f>+[8]MTM!$K$45/100</f>
        <v>2.9399999999999999E-2</v>
      </c>
      <c r="H65" s="9">
        <v>1757910</v>
      </c>
      <c r="J65" s="23" t="s">
        <v>36</v>
      </c>
      <c r="K65" s="25" t="s">
        <v>38</v>
      </c>
      <c r="L65" s="51">
        <v>45281</v>
      </c>
      <c r="M65" t="s">
        <v>24</v>
      </c>
      <c r="N65" s="23" t="s">
        <v>31</v>
      </c>
    </row>
    <row r="66" spans="1:14" x14ac:dyDescent="0.25">
      <c r="A66" s="27" t="s">
        <v>49</v>
      </c>
      <c r="B66" s="5"/>
      <c r="C66" s="6"/>
      <c r="D66" s="50"/>
      <c r="E66" s="7"/>
      <c r="F66" s="7"/>
      <c r="G66" s="32"/>
      <c r="H66" s="9"/>
      <c r="J66" s="23"/>
      <c r="K66" s="25"/>
      <c r="L66" s="51"/>
      <c r="N66" s="23"/>
    </row>
    <row r="67" spans="1:14" x14ac:dyDescent="0.25">
      <c r="A67" s="27"/>
      <c r="B67" s="5"/>
      <c r="C67" s="6"/>
      <c r="D67" s="50"/>
      <c r="E67" s="7"/>
      <c r="F67" s="7"/>
      <c r="G67" s="32"/>
      <c r="H67" s="9"/>
      <c r="J67" s="23"/>
      <c r="K67" s="25"/>
      <c r="L67" s="51"/>
      <c r="N67" s="23"/>
    </row>
    <row r="68" spans="1:14" x14ac:dyDescent="0.25">
      <c r="A68" s="27"/>
      <c r="B68" s="5"/>
      <c r="C68" s="6"/>
      <c r="D68" s="50"/>
      <c r="E68" s="7"/>
      <c r="F68" s="7"/>
      <c r="G68" s="32"/>
      <c r="H68" s="9"/>
      <c r="J68" s="23"/>
      <c r="K68" s="25"/>
      <c r="L68" s="51"/>
      <c r="N68" s="23"/>
    </row>
    <row r="69" spans="1:14" ht="15.75" thickBot="1" x14ac:dyDescent="0.3">
      <c r="B69" s="10"/>
      <c r="C69" s="11"/>
      <c r="D69" s="11"/>
      <c r="E69" s="12"/>
      <c r="F69" s="12"/>
      <c r="G69" s="12"/>
      <c r="H69" s="13">
        <f>SUM(H59:H65)</f>
        <v>2861014.63</v>
      </c>
      <c r="J69" s="23"/>
      <c r="K69" s="23"/>
      <c r="L69" s="23"/>
      <c r="N69" s="23"/>
    </row>
    <row r="70" spans="1:14" ht="15.75" thickBot="1" x14ac:dyDescent="0.3">
      <c r="B70" s="36"/>
      <c r="C70" s="37"/>
      <c r="D70" s="37"/>
      <c r="E70" s="38">
        <f>SUM(E59:E69)</f>
        <v>71074374.579999998</v>
      </c>
      <c r="F70" s="38">
        <f>SUM(F59:F69)</f>
        <v>62373592.799999997</v>
      </c>
      <c r="G70" s="37"/>
      <c r="H70" s="39"/>
      <c r="L70" s="23"/>
      <c r="N70" s="23"/>
    </row>
    <row r="71" spans="1:14" ht="15.75" thickBot="1" x14ac:dyDescent="0.3">
      <c r="B71" s="2"/>
      <c r="E71" s="20"/>
      <c r="F71" s="56">
        <f>+F70/F82</f>
        <v>0.42562875646408699</v>
      </c>
      <c r="H71" s="40"/>
      <c r="L71" s="23"/>
      <c r="N71" s="23"/>
    </row>
    <row r="72" spans="1:14" x14ac:dyDescent="0.25">
      <c r="A72" s="24" t="s">
        <v>19</v>
      </c>
      <c r="B72" s="2"/>
      <c r="E72" s="23" t="s">
        <v>39</v>
      </c>
      <c r="F72" s="23" t="s">
        <v>25</v>
      </c>
      <c r="H72" s="41"/>
      <c r="L72" s="23"/>
      <c r="N72" s="23"/>
    </row>
    <row r="73" spans="1:14" x14ac:dyDescent="0.25">
      <c r="A73" s="27" t="s">
        <v>3</v>
      </c>
      <c r="B73" s="5">
        <v>41760</v>
      </c>
      <c r="C73" s="6">
        <v>44100</v>
      </c>
      <c r="F73" s="42">
        <v>0</v>
      </c>
      <c r="H73" s="40"/>
      <c r="K73" s="23" t="s">
        <v>26</v>
      </c>
      <c r="L73" s="33">
        <v>44100</v>
      </c>
      <c r="M73" t="s">
        <v>21</v>
      </c>
      <c r="N73" s="23" t="s">
        <v>30</v>
      </c>
    </row>
    <row r="74" spans="1:14" x14ac:dyDescent="0.25">
      <c r="A74" s="27" t="s">
        <v>3</v>
      </c>
      <c r="B74" s="5"/>
      <c r="C74" s="6"/>
      <c r="F74" s="42"/>
      <c r="H74" s="40"/>
      <c r="K74" s="23"/>
      <c r="L74" s="33"/>
      <c r="N74" s="23"/>
    </row>
    <row r="75" spans="1:14" x14ac:dyDescent="0.25">
      <c r="A75" s="27" t="s">
        <v>17</v>
      </c>
      <c r="B75" s="2"/>
      <c r="C75" s="262">
        <v>35000000</v>
      </c>
      <c r="D75" s="6"/>
      <c r="E75" s="42">
        <v>7700000</v>
      </c>
      <c r="F75" s="42">
        <v>7700000</v>
      </c>
      <c r="H75" s="41"/>
      <c r="K75" s="23" t="s">
        <v>26</v>
      </c>
      <c r="L75" s="33">
        <v>45281</v>
      </c>
      <c r="M75" t="s">
        <v>24</v>
      </c>
      <c r="N75" s="23"/>
    </row>
    <row r="76" spans="1:14" x14ac:dyDescent="0.25">
      <c r="A76" s="27" t="s">
        <v>17</v>
      </c>
      <c r="B76" s="2"/>
      <c r="C76" s="262"/>
      <c r="D76" s="6"/>
      <c r="E76" s="42">
        <v>21000000</v>
      </c>
      <c r="F76" s="42">
        <v>21535000</v>
      </c>
      <c r="H76" s="40"/>
      <c r="K76" s="23" t="s">
        <v>26</v>
      </c>
      <c r="L76" s="33">
        <v>45281</v>
      </c>
      <c r="M76" t="s">
        <v>24</v>
      </c>
      <c r="N76" s="23"/>
    </row>
    <row r="77" spans="1:14" x14ac:dyDescent="0.25">
      <c r="A77" s="27" t="s">
        <v>20</v>
      </c>
      <c r="B77" s="5">
        <v>43374</v>
      </c>
      <c r="C77" s="42"/>
      <c r="D77" s="6"/>
      <c r="E77" s="42">
        <v>10800000</v>
      </c>
      <c r="F77" s="42">
        <v>9936000</v>
      </c>
      <c r="H77" s="40"/>
      <c r="K77" s="23" t="s">
        <v>26</v>
      </c>
      <c r="L77" s="33">
        <v>45281</v>
      </c>
      <c r="M77" t="s">
        <v>24</v>
      </c>
      <c r="N77" s="23" t="s">
        <v>31</v>
      </c>
    </row>
    <row r="78" spans="1:14" x14ac:dyDescent="0.25">
      <c r="A78" s="27" t="s">
        <v>22</v>
      </c>
      <c r="B78" s="5">
        <v>44078</v>
      </c>
      <c r="C78" s="42">
        <v>45000000</v>
      </c>
      <c r="E78" s="42">
        <v>0</v>
      </c>
      <c r="F78" s="42"/>
      <c r="H78" s="40"/>
      <c r="K78" s="23" t="s">
        <v>26</v>
      </c>
      <c r="L78" s="33">
        <v>45281</v>
      </c>
      <c r="M78" t="s">
        <v>24</v>
      </c>
      <c r="N78" s="23" t="s">
        <v>40</v>
      </c>
    </row>
    <row r="79" spans="1:14" x14ac:dyDescent="0.25">
      <c r="A79" s="27" t="s">
        <v>41</v>
      </c>
      <c r="B79" s="5">
        <v>44530</v>
      </c>
      <c r="C79" s="42"/>
      <c r="E79" s="42">
        <v>45000000</v>
      </c>
      <c r="F79" s="42">
        <f>+E79</f>
        <v>45000000</v>
      </c>
      <c r="H79" s="40"/>
      <c r="K79" s="23"/>
      <c r="L79" s="33"/>
      <c r="N79" s="23"/>
    </row>
    <row r="80" spans="1:14" ht="15.75" thickBot="1" x14ac:dyDescent="0.3">
      <c r="B80" s="43"/>
      <c r="C80" s="34"/>
      <c r="D80" s="34"/>
      <c r="E80" s="35">
        <f>SUM(E75:E79)</f>
        <v>84500000</v>
      </c>
      <c r="F80" s="35">
        <f>SUM(F75:F79)</f>
        <v>84171000</v>
      </c>
      <c r="G80" s="34"/>
      <c r="H80" s="44"/>
      <c r="L80" s="23"/>
    </row>
    <row r="81" spans="1:12" ht="15.75" thickBot="1" x14ac:dyDescent="0.3">
      <c r="B81" s="2"/>
      <c r="F81" s="56">
        <f>+F80/F82</f>
        <v>0.57437124353591296</v>
      </c>
      <c r="H81" s="40"/>
      <c r="L81" s="23"/>
    </row>
    <row r="82" spans="1:12" ht="15.75" thickBot="1" x14ac:dyDescent="0.3">
      <c r="A82" s="29" t="s">
        <v>23</v>
      </c>
      <c r="B82" s="45"/>
      <c r="C82" s="30"/>
      <c r="D82" s="30"/>
      <c r="E82" s="31">
        <f>+E70+E80</f>
        <v>155574374.57999998</v>
      </c>
      <c r="F82" s="57">
        <f>+F70+F80</f>
        <v>146544592.80000001</v>
      </c>
      <c r="G82" s="30"/>
      <c r="H82" s="46"/>
    </row>
    <row r="83" spans="1:12" ht="15.75" thickTop="1" x14ac:dyDescent="0.25">
      <c r="B83" s="2"/>
      <c r="H83" s="40"/>
    </row>
    <row r="84" spans="1:12" ht="15.75" thickBot="1" x14ac:dyDescent="0.3">
      <c r="B84" s="10"/>
      <c r="C84" s="11"/>
      <c r="D84" s="11"/>
      <c r="E84" s="11"/>
      <c r="F84" s="11"/>
      <c r="G84" s="11"/>
      <c r="H84" s="47"/>
    </row>
    <row r="86" spans="1:12" x14ac:dyDescent="0.25">
      <c r="A86" s="53" t="s">
        <v>42</v>
      </c>
      <c r="B86" s="54"/>
    </row>
    <row r="87" spans="1:12" x14ac:dyDescent="0.25">
      <c r="A87" s="52" t="s">
        <v>43</v>
      </c>
      <c r="B87" s="55"/>
    </row>
    <row r="88" spans="1:12" x14ac:dyDescent="0.25">
      <c r="B88" s="22"/>
    </row>
    <row r="89" spans="1:12" x14ac:dyDescent="0.25">
      <c r="A89" t="s">
        <v>44</v>
      </c>
      <c r="B89" s="22"/>
      <c r="C89" t="s">
        <v>45</v>
      </c>
    </row>
    <row r="90" spans="1:12" x14ac:dyDescent="0.25">
      <c r="B90" s="22"/>
    </row>
    <row r="91" spans="1:12" x14ac:dyDescent="0.25">
      <c r="A91" t="s">
        <v>46</v>
      </c>
    </row>
    <row r="92" spans="1:12" x14ac:dyDescent="0.25">
      <c r="A92" t="s">
        <v>47</v>
      </c>
      <c r="B92" s="22"/>
      <c r="C92" t="s">
        <v>48</v>
      </c>
    </row>
  </sheetData>
  <mergeCells count="6">
    <mergeCell ref="C75:C76"/>
    <mergeCell ref="B2:H2"/>
    <mergeCell ref="B13:H13"/>
    <mergeCell ref="B27:H27"/>
    <mergeCell ref="B42:H42"/>
    <mergeCell ref="B57:H57"/>
  </mergeCells>
  <phoneticPr fontId="7" type="noConversion"/>
  <pageMargins left="0.70866141732283472" right="0.70866141732283472" top="0.74803149606299213" bottom="0.74803149606299213" header="0.31496062992125984" footer="0.31496062992125984"/>
  <pageSetup scale="57" orientation="landscape" r:id="rId1"/>
  <headerFooter>
    <oddFooter>&amp;L&amp;Z
&amp;F&amp;C&amp;A&amp;R&amp;D
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BF806-3692-4C6B-ABED-B60E2770EC14}">
  <sheetPr>
    <pageSetUpPr fitToPage="1"/>
  </sheetPr>
  <dimension ref="A1:O37"/>
  <sheetViews>
    <sheetView zoomScaleNormal="100" workbookViewId="0">
      <selection activeCell="L23" sqref="L23"/>
    </sheetView>
  </sheetViews>
  <sheetFormatPr baseColWidth="10" defaultColWidth="11.5703125" defaultRowHeight="12.75" outlineLevelRow="1" x14ac:dyDescent="0.2"/>
  <cols>
    <col min="1" max="1" width="35.28515625" style="212" customWidth="1"/>
    <col min="2" max="2" width="12.5703125" style="212" customWidth="1"/>
    <col min="3" max="3" width="13.7109375" style="212" bestFit="1" customWidth="1"/>
    <col min="4" max="4" width="11.5703125" style="212"/>
    <col min="5" max="6" width="16.7109375" style="212" bestFit="1" customWidth="1"/>
    <col min="7" max="7" width="14.5703125" style="212" customWidth="1"/>
    <col min="8" max="8" width="17.7109375" style="212" customWidth="1"/>
    <col min="9" max="9" width="27.85546875" style="212" customWidth="1"/>
    <col min="10" max="10" width="3.28515625" style="212" customWidth="1"/>
    <col min="11" max="11" width="15.28515625" style="212" bestFit="1" customWidth="1"/>
    <col min="12" max="12" width="18.140625" style="212" customWidth="1"/>
    <col min="13" max="13" width="11.5703125" style="212"/>
    <col min="14" max="14" width="32.85546875" style="212" customWidth="1"/>
    <col min="15" max="15" width="16" style="212" bestFit="1" customWidth="1"/>
    <col min="16" max="16384" width="11.5703125" style="212"/>
  </cols>
  <sheetData>
    <row r="1" spans="1:15" x14ac:dyDescent="0.2">
      <c r="A1" s="212" t="s">
        <v>9</v>
      </c>
    </row>
    <row r="2" spans="1:15" ht="13.5" thickBot="1" x14ac:dyDescent="0.25"/>
    <row r="3" spans="1:15" ht="13.5" thickBot="1" x14ac:dyDescent="0.25">
      <c r="A3" s="212" t="s">
        <v>0</v>
      </c>
      <c r="B3" s="245">
        <v>45747</v>
      </c>
      <c r="C3" s="246"/>
      <c r="D3" s="246"/>
      <c r="E3" s="246"/>
      <c r="F3" s="246"/>
      <c r="G3" s="246"/>
      <c r="H3" s="246"/>
      <c r="I3" s="247"/>
    </row>
    <row r="4" spans="1:15" ht="58.15" customHeight="1" x14ac:dyDescent="0.2">
      <c r="A4" s="165" t="s">
        <v>116</v>
      </c>
      <c r="B4" s="213" t="s">
        <v>80</v>
      </c>
      <c r="C4" s="214" t="s">
        <v>81</v>
      </c>
      <c r="D4" s="214" t="s">
        <v>82</v>
      </c>
      <c r="E4" s="215" t="s">
        <v>83</v>
      </c>
      <c r="F4" s="215" t="s">
        <v>97</v>
      </c>
      <c r="G4" s="214" t="s">
        <v>10</v>
      </c>
      <c r="H4" s="214" t="s">
        <v>127</v>
      </c>
      <c r="I4" s="216" t="s">
        <v>98</v>
      </c>
      <c r="K4" s="214"/>
      <c r="L4" s="214" t="s">
        <v>101</v>
      </c>
      <c r="M4" s="214" t="s">
        <v>102</v>
      </c>
      <c r="O4" s="212" t="s">
        <v>103</v>
      </c>
    </row>
    <row r="5" spans="1:15" x14ac:dyDescent="0.2">
      <c r="A5" s="217"/>
      <c r="B5" s="218"/>
      <c r="C5" s="219"/>
      <c r="D5" s="219"/>
      <c r="E5" s="173"/>
      <c r="F5" s="173"/>
      <c r="G5" s="174"/>
      <c r="H5" s="174"/>
      <c r="I5" s="175" t="s">
        <v>118</v>
      </c>
      <c r="K5" s="220"/>
      <c r="L5" s="133"/>
      <c r="M5" s="221"/>
      <c r="O5" s="220"/>
    </row>
    <row r="6" spans="1:15" x14ac:dyDescent="0.2">
      <c r="A6" s="217"/>
      <c r="B6" s="218"/>
      <c r="C6" s="219"/>
      <c r="D6" s="219"/>
      <c r="E6" s="178"/>
      <c r="F6" s="178"/>
      <c r="G6" s="179"/>
      <c r="H6" s="179"/>
      <c r="I6" s="180" t="s">
        <v>104</v>
      </c>
      <c r="K6" s="220"/>
      <c r="L6" s="181"/>
      <c r="M6" s="221"/>
      <c r="O6" s="220"/>
    </row>
    <row r="7" spans="1:15" x14ac:dyDescent="0.2">
      <c r="A7" s="217" t="s">
        <v>128</v>
      </c>
      <c r="B7" s="218">
        <v>45499</v>
      </c>
      <c r="C7" s="219">
        <v>45499</v>
      </c>
      <c r="D7" s="219">
        <v>49151</v>
      </c>
      <c r="E7" s="173">
        <v>30000000</v>
      </c>
      <c r="F7" s="173">
        <v>30000000</v>
      </c>
      <c r="G7" s="174">
        <v>2.87E-2</v>
      </c>
      <c r="H7" s="174">
        <v>2.2954700000000001E-2</v>
      </c>
      <c r="I7" s="175">
        <v>446648.71</v>
      </c>
      <c r="K7" s="220"/>
      <c r="L7" s="133" t="s">
        <v>143</v>
      </c>
      <c r="M7" s="221">
        <v>46599</v>
      </c>
      <c r="N7" s="212" t="s">
        <v>123</v>
      </c>
      <c r="O7" s="220" t="s">
        <v>136</v>
      </c>
    </row>
    <row r="8" spans="1:15" x14ac:dyDescent="0.2">
      <c r="A8" s="217" t="s">
        <v>128</v>
      </c>
      <c r="B8" s="218">
        <v>45499</v>
      </c>
      <c r="C8" s="219">
        <v>45499</v>
      </c>
      <c r="D8" s="219">
        <v>47325</v>
      </c>
      <c r="E8" s="173">
        <v>45000000</v>
      </c>
      <c r="F8" s="173">
        <v>44391726.069999993</v>
      </c>
      <c r="G8" s="174">
        <v>2.7799999999999998E-2</v>
      </c>
      <c r="H8" s="174">
        <v>2.2954700000000001E-2</v>
      </c>
      <c r="I8" s="175">
        <v>696950.94</v>
      </c>
      <c r="K8" s="220"/>
      <c r="L8" s="133" t="s">
        <v>144</v>
      </c>
      <c r="M8" s="221">
        <v>46599</v>
      </c>
      <c r="N8" s="212" t="s">
        <v>123</v>
      </c>
      <c r="O8" s="220" t="s">
        <v>31</v>
      </c>
    </row>
    <row r="9" spans="1:15" x14ac:dyDescent="0.2">
      <c r="A9" s="217" t="s">
        <v>128</v>
      </c>
      <c r="B9" s="218">
        <v>45517</v>
      </c>
      <c r="C9" s="219">
        <v>45517</v>
      </c>
      <c r="D9" s="219">
        <v>47325</v>
      </c>
      <c r="E9" s="173">
        <v>30000000</v>
      </c>
      <c r="F9" s="173">
        <v>29577444</v>
      </c>
      <c r="G9" s="174">
        <v>2.4799999999999999E-2</v>
      </c>
      <c r="H9" s="174">
        <v>2.2954700000000001E-2</v>
      </c>
      <c r="I9" s="175">
        <v>-173375.06</v>
      </c>
      <c r="K9" s="220"/>
      <c r="L9" s="133" t="s">
        <v>145</v>
      </c>
      <c r="M9" s="221">
        <f>+M8</f>
        <v>46599</v>
      </c>
      <c r="N9" s="212" t="s">
        <v>123</v>
      </c>
      <c r="O9" s="220" t="s">
        <v>31</v>
      </c>
    </row>
    <row r="10" spans="1:15" x14ac:dyDescent="0.2">
      <c r="A10" s="217" t="s">
        <v>128</v>
      </c>
      <c r="B10" s="218">
        <v>45524</v>
      </c>
      <c r="C10" s="219">
        <v>45524</v>
      </c>
      <c r="D10" s="219">
        <v>46594</v>
      </c>
      <c r="E10" s="173">
        <v>15000000</v>
      </c>
      <c r="F10" s="173">
        <v>14832454.380000001</v>
      </c>
      <c r="G10" s="174">
        <v>3.1300000000000001E-2</v>
      </c>
      <c r="H10" s="174">
        <v>2.2954700000000001E-2</v>
      </c>
      <c r="I10" s="175">
        <v>259332.28</v>
      </c>
      <c r="K10" s="220"/>
      <c r="L10" s="133" t="s">
        <v>146</v>
      </c>
      <c r="M10" s="221">
        <f>+M9</f>
        <v>46599</v>
      </c>
      <c r="N10" s="212" t="s">
        <v>123</v>
      </c>
      <c r="O10" s="220" t="s">
        <v>40</v>
      </c>
    </row>
    <row r="11" spans="1:15" x14ac:dyDescent="0.2">
      <c r="A11" s="217" t="s">
        <v>128</v>
      </c>
      <c r="B11" s="218">
        <v>45644</v>
      </c>
      <c r="C11" s="219">
        <v>45644</v>
      </c>
      <c r="D11" s="219">
        <v>46385</v>
      </c>
      <c r="E11" s="173">
        <v>5700000</v>
      </c>
      <c r="F11" s="173">
        <v>5677631.1000000006</v>
      </c>
      <c r="G11" s="174">
        <v>2.9175E-2</v>
      </c>
      <c r="H11" s="174">
        <v>2.2954700000000001E-2</v>
      </c>
      <c r="I11" s="175">
        <v>55061.81</v>
      </c>
      <c r="K11" s="220"/>
      <c r="L11" s="133" t="s">
        <v>147</v>
      </c>
      <c r="M11" s="221">
        <f>+M10</f>
        <v>46599</v>
      </c>
      <c r="N11" s="212" t="s">
        <v>123</v>
      </c>
      <c r="O11" s="220" t="s">
        <v>40</v>
      </c>
    </row>
    <row r="12" spans="1:15" x14ac:dyDescent="0.2">
      <c r="A12" s="217" t="s">
        <v>128</v>
      </c>
      <c r="B12" s="218">
        <v>45674</v>
      </c>
      <c r="C12" s="219">
        <v>45674</v>
      </c>
      <c r="D12" s="219">
        <v>46413</v>
      </c>
      <c r="E12" s="173">
        <v>3800000</v>
      </c>
      <c r="F12" s="173">
        <v>3781341</v>
      </c>
      <c r="G12" s="174">
        <v>2.9000000000000001E-2</v>
      </c>
      <c r="H12" s="174">
        <v>2.2954700000000001E-2</v>
      </c>
      <c r="I12" s="175">
        <v>-38700.69</v>
      </c>
      <c r="K12" s="220"/>
      <c r="L12" s="133" t="s">
        <v>148</v>
      </c>
      <c r="M12" s="221">
        <f>+M11</f>
        <v>46599</v>
      </c>
      <c r="N12" s="212" t="s">
        <v>123</v>
      </c>
      <c r="O12" s="220" t="s">
        <v>40</v>
      </c>
    </row>
    <row r="13" spans="1:15" ht="13.5" thickBot="1" x14ac:dyDescent="0.25">
      <c r="A13" s="217" t="s">
        <v>128</v>
      </c>
      <c r="B13" s="218">
        <v>45674</v>
      </c>
      <c r="C13" s="222">
        <v>45674</v>
      </c>
      <c r="D13" s="219">
        <v>46413</v>
      </c>
      <c r="E13" s="173">
        <v>1900000</v>
      </c>
      <c r="F13" s="173">
        <v>1890802.82</v>
      </c>
      <c r="G13" s="174">
        <v>0.03</v>
      </c>
      <c r="H13" s="174">
        <v>2.2954700000000001E-2</v>
      </c>
      <c r="I13" s="175">
        <v>21321.37</v>
      </c>
      <c r="K13" s="220"/>
      <c r="L13" s="133" t="s">
        <v>148</v>
      </c>
      <c r="M13" s="221">
        <f>+M12</f>
        <v>46599</v>
      </c>
      <c r="N13" s="212" t="s">
        <v>123</v>
      </c>
      <c r="O13" s="220" t="s">
        <v>40</v>
      </c>
    </row>
    <row r="14" spans="1:15" ht="13.5" thickBot="1" x14ac:dyDescent="0.25">
      <c r="B14" s="223"/>
      <c r="D14" s="224"/>
      <c r="E14" s="225">
        <f>SUM(E7:E13)</f>
        <v>131400000</v>
      </c>
      <c r="F14" s="185">
        <f>SUM(F7:F13)</f>
        <v>130151399.36999997</v>
      </c>
      <c r="G14" s="224"/>
      <c r="H14" s="224"/>
      <c r="I14" s="226">
        <f>SUM(I7:I13)</f>
        <v>1267239.3600000001</v>
      </c>
      <c r="K14" s="220"/>
      <c r="L14" s="181"/>
      <c r="M14" s="221"/>
      <c r="O14" s="220"/>
    </row>
    <row r="15" spans="1:15" ht="13.5" thickBot="1" x14ac:dyDescent="0.25">
      <c r="B15" s="227"/>
      <c r="C15" s="220"/>
      <c r="E15" s="228"/>
      <c r="F15" s="188">
        <f>+F14/F27</f>
        <v>0.94896151237133386</v>
      </c>
      <c r="I15" s="229"/>
      <c r="K15" s="220"/>
      <c r="L15" s="181"/>
      <c r="M15" s="221"/>
      <c r="O15" s="220"/>
    </row>
    <row r="16" spans="1:15" outlineLevel="1" x14ac:dyDescent="0.2">
      <c r="A16" s="165"/>
      <c r="B16" s="227"/>
      <c r="C16" s="220" t="s">
        <v>125</v>
      </c>
      <c r="E16" s="220"/>
      <c r="F16" s="220" t="s">
        <v>106</v>
      </c>
      <c r="G16" s="248" t="s">
        <v>133</v>
      </c>
      <c r="H16" s="248"/>
      <c r="I16" s="249"/>
      <c r="K16" s="220"/>
      <c r="L16" s="181"/>
      <c r="M16" s="221"/>
      <c r="O16" s="220"/>
    </row>
    <row r="17" spans="1:15" outlineLevel="1" x14ac:dyDescent="0.2">
      <c r="A17" s="230" t="s">
        <v>109</v>
      </c>
      <c r="B17" s="227"/>
      <c r="C17" s="191">
        <v>55000000</v>
      </c>
      <c r="D17" s="219"/>
      <c r="E17" s="192"/>
      <c r="F17" s="191">
        <v>37000000</v>
      </c>
      <c r="G17" s="231"/>
      <c r="I17" s="229"/>
      <c r="M17" s="220"/>
      <c r="O17" s="220"/>
    </row>
    <row r="18" spans="1:15" outlineLevel="1" x14ac:dyDescent="0.2">
      <c r="A18" s="230" t="s">
        <v>126</v>
      </c>
      <c r="B18" s="227"/>
      <c r="C18" s="191">
        <v>90000000</v>
      </c>
      <c r="D18" s="219"/>
      <c r="E18" s="192"/>
      <c r="F18" s="192">
        <v>88801624.469999999</v>
      </c>
      <c r="I18" s="229"/>
      <c r="M18" s="220"/>
      <c r="O18" s="220"/>
    </row>
    <row r="19" spans="1:15" outlineLevel="1" x14ac:dyDescent="0.2">
      <c r="A19" s="230" t="s">
        <v>141</v>
      </c>
      <c r="B19" s="227"/>
      <c r="C19" s="191">
        <v>20000000</v>
      </c>
      <c r="D19" s="219"/>
      <c r="E19" s="192"/>
      <c r="F19" s="192">
        <v>11349774.91</v>
      </c>
      <c r="I19" s="229"/>
      <c r="M19" s="220"/>
      <c r="O19" s="220"/>
    </row>
    <row r="20" spans="1:15" x14ac:dyDescent="0.2">
      <c r="A20" s="165"/>
      <c r="B20" s="227"/>
      <c r="C20" s="191"/>
      <c r="D20" s="219"/>
      <c r="E20" s="192"/>
      <c r="F20" s="192"/>
      <c r="I20" s="229"/>
      <c r="M20" s="220"/>
      <c r="O20" s="220"/>
    </row>
    <row r="21" spans="1:15" ht="33.75" customHeight="1" x14ac:dyDescent="0.2">
      <c r="A21" s="165" t="s">
        <v>19</v>
      </c>
      <c r="B21" s="227"/>
      <c r="C21" s="191"/>
      <c r="D21" s="219"/>
      <c r="E21" s="192"/>
      <c r="F21" s="192"/>
      <c r="I21" s="229"/>
      <c r="L21" s="220"/>
      <c r="M21" s="221"/>
      <c r="O21" s="220"/>
    </row>
    <row r="22" spans="1:15" x14ac:dyDescent="0.2">
      <c r="A22" s="217"/>
      <c r="B22" s="227"/>
      <c r="C22" s="220" t="s">
        <v>125</v>
      </c>
      <c r="D22" s="219"/>
      <c r="E22" s="192"/>
      <c r="F22" s="192"/>
      <c r="I22" s="229"/>
      <c r="L22" s="220"/>
      <c r="M22" s="221"/>
      <c r="O22" s="220"/>
    </row>
    <row r="23" spans="1:15" x14ac:dyDescent="0.2">
      <c r="A23" s="217" t="s">
        <v>109</v>
      </c>
      <c r="B23" s="227"/>
      <c r="C23" s="191">
        <v>55000000</v>
      </c>
      <c r="D23" s="219"/>
      <c r="E23" s="192"/>
      <c r="F23" s="192">
        <f>F17-F7</f>
        <v>7000000</v>
      </c>
      <c r="I23" s="229"/>
      <c r="L23" s="220"/>
      <c r="M23" s="221"/>
      <c r="O23" s="220"/>
    </row>
    <row r="24" spans="1:15" x14ac:dyDescent="0.2">
      <c r="A24" s="230"/>
      <c r="B24" s="227"/>
      <c r="C24" s="191"/>
      <c r="D24" s="219"/>
      <c r="E24" s="192"/>
      <c r="F24" s="192"/>
      <c r="I24" s="229"/>
      <c r="L24" s="220"/>
      <c r="M24" s="221"/>
      <c r="O24" s="220"/>
    </row>
    <row r="25" spans="1:15" ht="13.5" thickBot="1" x14ac:dyDescent="0.25">
      <c r="B25" s="232"/>
      <c r="C25" s="233"/>
      <c r="D25" s="233"/>
      <c r="E25" s="234"/>
      <c r="F25" s="234">
        <f>F23+F24</f>
        <v>7000000</v>
      </c>
      <c r="G25" s="233"/>
      <c r="H25" s="233"/>
      <c r="I25" s="235"/>
      <c r="L25" s="220"/>
      <c r="M25" s="221"/>
      <c r="O25" s="220"/>
    </row>
    <row r="26" spans="1:15" ht="13.5" thickBot="1" x14ac:dyDescent="0.25">
      <c r="B26" s="227"/>
      <c r="F26" s="188">
        <f>+F25/F27</f>
        <v>5.1038487628666196E-2</v>
      </c>
      <c r="I26" s="229"/>
      <c r="L26" s="220"/>
      <c r="M26" s="221"/>
      <c r="O26" s="220"/>
    </row>
    <row r="27" spans="1:15" ht="13.5" thickBot="1" x14ac:dyDescent="0.25">
      <c r="A27" s="198" t="s">
        <v>117</v>
      </c>
      <c r="B27" s="199"/>
      <c r="C27" s="200"/>
      <c r="D27" s="200"/>
      <c r="E27" s="236">
        <f>+E14+F25</f>
        <v>138400000</v>
      </c>
      <c r="F27" s="202">
        <f>+F14+F25</f>
        <v>137151399.36999997</v>
      </c>
      <c r="G27" s="200"/>
      <c r="H27" s="200"/>
      <c r="I27" s="203"/>
      <c r="L27" s="220"/>
      <c r="M27" s="221"/>
      <c r="O27" s="220"/>
    </row>
    <row r="28" spans="1:15" ht="13.5" thickTop="1" x14ac:dyDescent="0.2">
      <c r="B28" s="227"/>
      <c r="I28" s="229"/>
      <c r="L28" s="220"/>
      <c r="M28" s="221"/>
      <c r="O28" s="220"/>
    </row>
    <row r="29" spans="1:15" ht="13.5" thickBot="1" x14ac:dyDescent="0.25">
      <c r="B29" s="237"/>
      <c r="C29" s="238"/>
      <c r="D29" s="238"/>
      <c r="E29" s="238"/>
      <c r="F29" s="238"/>
      <c r="G29" s="238"/>
      <c r="H29" s="238"/>
      <c r="I29" s="239"/>
      <c r="M29" s="220"/>
    </row>
    <row r="30" spans="1:15" x14ac:dyDescent="0.2">
      <c r="M30" s="220"/>
    </row>
    <row r="31" spans="1:15" x14ac:dyDescent="0.2">
      <c r="A31" s="212" t="s">
        <v>42</v>
      </c>
      <c r="B31" s="207"/>
      <c r="E31" s="228">
        <f>F14</f>
        <v>130151399.36999997</v>
      </c>
      <c r="F31" s="208">
        <f>+E31/E31+E32</f>
        <v>1</v>
      </c>
      <c r="H31" s="240"/>
    </row>
    <row r="32" spans="1:15" x14ac:dyDescent="0.2">
      <c r="A32" s="212" t="s">
        <v>115</v>
      </c>
      <c r="B32" s="207"/>
      <c r="E32" s="228">
        <v>0</v>
      </c>
    </row>
    <row r="33" spans="1:3" x14ac:dyDescent="0.2">
      <c r="B33" s="210"/>
    </row>
    <row r="34" spans="1:3" x14ac:dyDescent="0.2">
      <c r="A34" s="212" t="s">
        <v>149</v>
      </c>
      <c r="B34" s="211">
        <f>+F15</f>
        <v>0.94896151237133386</v>
      </c>
      <c r="C34" s="212" t="s">
        <v>108</v>
      </c>
    </row>
    <row r="35" spans="1:3" x14ac:dyDescent="0.2">
      <c r="B35" s="210"/>
    </row>
    <row r="36" spans="1:3" x14ac:dyDescent="0.2">
      <c r="A36" s="212" t="s">
        <v>62</v>
      </c>
    </row>
    <row r="37" spans="1:3" x14ac:dyDescent="0.2">
      <c r="B37" s="210"/>
    </row>
  </sheetData>
  <mergeCells count="2">
    <mergeCell ref="B3:I3"/>
    <mergeCell ref="G16:I16"/>
  </mergeCells>
  <pageMargins left="0.70866141732283472" right="0.70866141732283472" top="0.74803149606299213" bottom="0.74803149606299213" header="0.31496062992125984" footer="0.31496062992125984"/>
  <pageSetup scale="46" orientation="landscape" r:id="rId1"/>
  <headerFooter>
    <oddFooter>&amp;L&amp;Z
&amp;F&amp;C&amp;A&amp;R&amp;D
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EAAC7-787B-452D-B630-CF17A204BA1C}">
  <sheetPr>
    <pageSetUpPr fitToPage="1"/>
  </sheetPr>
  <dimension ref="A1:P35"/>
  <sheetViews>
    <sheetView tabSelected="1" zoomScaleNormal="100" workbookViewId="0">
      <selection activeCell="J10" sqref="J10"/>
    </sheetView>
  </sheetViews>
  <sheetFormatPr baseColWidth="10" defaultColWidth="11.5703125" defaultRowHeight="12.75" outlineLevelRow="1" x14ac:dyDescent="0.2"/>
  <cols>
    <col min="1" max="1" width="35.28515625" style="164" customWidth="1"/>
    <col min="2" max="2" width="12.5703125" style="164" customWidth="1"/>
    <col min="3" max="3" width="13.7109375" style="164" bestFit="1" customWidth="1"/>
    <col min="4" max="4" width="11.5703125" style="164"/>
    <col min="5" max="6" width="16.7109375" style="164" bestFit="1" customWidth="1"/>
    <col min="7" max="7" width="14.5703125" style="164" customWidth="1"/>
    <col min="8" max="8" width="17.7109375" style="164" customWidth="1"/>
    <col min="9" max="10" width="27.85546875" style="164" customWidth="1"/>
    <col min="11" max="11" width="3.28515625" style="164" customWidth="1"/>
    <col min="12" max="12" width="15.28515625" style="164" bestFit="1" customWidth="1"/>
    <col min="13" max="13" width="18.140625" style="164" customWidth="1"/>
    <col min="14" max="14" width="11.5703125" style="164"/>
    <col min="15" max="15" width="32.85546875" style="164" customWidth="1"/>
    <col min="16" max="16" width="16" style="164" bestFit="1" customWidth="1"/>
    <col min="17" max="16384" width="11.5703125" style="164"/>
  </cols>
  <sheetData>
    <row r="1" spans="1:16" x14ac:dyDescent="0.2">
      <c r="A1" s="164" t="s">
        <v>9</v>
      </c>
    </row>
    <row r="2" spans="1:16" ht="13.5" thickBot="1" x14ac:dyDescent="0.25"/>
    <row r="3" spans="1:16" ht="13.5" thickBot="1" x14ac:dyDescent="0.25">
      <c r="A3" s="164" t="s">
        <v>0</v>
      </c>
      <c r="B3" s="245">
        <v>45657</v>
      </c>
      <c r="C3" s="246"/>
      <c r="D3" s="246"/>
      <c r="E3" s="246"/>
      <c r="F3" s="246"/>
      <c r="G3" s="246"/>
      <c r="H3" s="246"/>
      <c r="I3" s="247"/>
      <c r="J3" s="273"/>
    </row>
    <row r="4" spans="1:16" ht="58.15" customHeight="1" x14ac:dyDescent="0.2">
      <c r="A4" s="165" t="s">
        <v>116</v>
      </c>
      <c r="B4" s="166" t="s">
        <v>80</v>
      </c>
      <c r="C4" s="167" t="s">
        <v>81</v>
      </c>
      <c r="D4" s="167" t="s">
        <v>82</v>
      </c>
      <c r="E4" s="168" t="s">
        <v>83</v>
      </c>
      <c r="F4" s="168" t="s">
        <v>97</v>
      </c>
      <c r="G4" s="167" t="s">
        <v>10</v>
      </c>
      <c r="H4" s="167" t="s">
        <v>127</v>
      </c>
      <c r="I4" s="169" t="s">
        <v>98</v>
      </c>
      <c r="J4" s="274" t="s">
        <v>157</v>
      </c>
      <c r="L4" s="167"/>
      <c r="M4" s="167" t="s">
        <v>101</v>
      </c>
      <c r="N4" s="167" t="s">
        <v>102</v>
      </c>
      <c r="P4" s="164" t="s">
        <v>103</v>
      </c>
    </row>
    <row r="5" spans="1:16" x14ac:dyDescent="0.2">
      <c r="A5" s="170"/>
      <c r="B5" s="171"/>
      <c r="C5" s="172"/>
      <c r="D5" s="172"/>
      <c r="E5" s="173"/>
      <c r="F5" s="173"/>
      <c r="G5" s="174"/>
      <c r="H5" s="174"/>
      <c r="I5" s="175" t="s">
        <v>118</v>
      </c>
      <c r="J5" s="275" t="s">
        <v>118</v>
      </c>
      <c r="L5" s="176"/>
      <c r="M5" s="133"/>
      <c r="N5" s="177"/>
      <c r="P5" s="176"/>
    </row>
    <row r="6" spans="1:16" x14ac:dyDescent="0.2">
      <c r="A6" s="170"/>
      <c r="B6" s="171"/>
      <c r="C6" s="172"/>
      <c r="D6" s="172"/>
      <c r="E6" s="178"/>
      <c r="F6" s="178"/>
      <c r="G6" s="179"/>
      <c r="H6" s="179"/>
      <c r="I6" s="180" t="s">
        <v>104</v>
      </c>
      <c r="J6" s="275" t="s">
        <v>104</v>
      </c>
      <c r="L6" s="176"/>
      <c r="M6" s="181"/>
      <c r="N6" s="177"/>
      <c r="P6" s="176"/>
    </row>
    <row r="7" spans="1:16" x14ac:dyDescent="0.2">
      <c r="A7" s="170" t="s">
        <v>128</v>
      </c>
      <c r="B7" s="171">
        <v>45499</v>
      </c>
      <c r="C7" s="172">
        <v>45499</v>
      </c>
      <c r="D7" s="172">
        <v>49151</v>
      </c>
      <c r="E7" s="173">
        <v>30000000</v>
      </c>
      <c r="F7" s="173">
        <v>30000000</v>
      </c>
      <c r="G7" s="174">
        <v>2.87E-2</v>
      </c>
      <c r="H7" s="174">
        <v>2.2954700000000001E-2</v>
      </c>
      <c r="I7" s="175">
        <v>-109474.27</v>
      </c>
      <c r="J7" s="275">
        <v>-109474.27</v>
      </c>
      <c r="L7" s="176"/>
      <c r="M7" s="133" t="s">
        <v>135</v>
      </c>
      <c r="N7" s="177">
        <v>46599</v>
      </c>
      <c r="O7" s="164" t="s">
        <v>123</v>
      </c>
      <c r="P7" s="176" t="s">
        <v>136</v>
      </c>
    </row>
    <row r="8" spans="1:16" x14ac:dyDescent="0.2">
      <c r="A8" s="170" t="s">
        <v>128</v>
      </c>
      <c r="B8" s="171">
        <v>45499</v>
      </c>
      <c r="C8" s="172">
        <v>45499</v>
      </c>
      <c r="D8" s="172">
        <v>47325</v>
      </c>
      <c r="E8" s="173">
        <v>45000000</v>
      </c>
      <c r="F8" s="173">
        <v>44635365.539999999</v>
      </c>
      <c r="G8" s="174">
        <v>2.7799999999999998E-2</v>
      </c>
      <c r="H8" s="174">
        <v>2.2954700000000001E-2</v>
      </c>
      <c r="I8" s="175">
        <v>167713.92000000001</v>
      </c>
      <c r="J8" s="275">
        <v>167713.92000000001</v>
      </c>
      <c r="L8" s="176"/>
      <c r="M8" s="133" t="s">
        <v>137</v>
      </c>
      <c r="N8" s="177">
        <v>46599</v>
      </c>
      <c r="O8" s="164" t="s">
        <v>123</v>
      </c>
      <c r="P8" s="176" t="s">
        <v>31</v>
      </c>
    </row>
    <row r="9" spans="1:16" x14ac:dyDescent="0.2">
      <c r="A9" s="170" t="s">
        <v>128</v>
      </c>
      <c r="B9" s="171">
        <v>45517</v>
      </c>
      <c r="C9" s="172">
        <v>45517</v>
      </c>
      <c r="D9" s="172">
        <v>47325</v>
      </c>
      <c r="E9" s="173">
        <v>30000000</v>
      </c>
      <c r="F9" s="173">
        <v>29737478</v>
      </c>
      <c r="G9" s="174">
        <v>2.4799999999999999E-2</v>
      </c>
      <c r="H9" s="174">
        <v>2.2954700000000001E-2</v>
      </c>
      <c r="I9" s="175">
        <v>-253393.15</v>
      </c>
      <c r="J9" s="275">
        <v>-253393.15</v>
      </c>
      <c r="L9" s="176"/>
      <c r="M9" s="133" t="s">
        <v>138</v>
      </c>
      <c r="N9" s="177">
        <f>+N8</f>
        <v>46599</v>
      </c>
      <c r="O9" s="164" t="s">
        <v>123</v>
      </c>
      <c r="P9" s="176" t="s">
        <v>31</v>
      </c>
    </row>
    <row r="10" spans="1:16" x14ac:dyDescent="0.2">
      <c r="A10" s="265" t="s">
        <v>128</v>
      </c>
      <c r="B10" s="266">
        <v>45524</v>
      </c>
      <c r="C10" s="267">
        <v>45524</v>
      </c>
      <c r="D10" s="267">
        <v>46594</v>
      </c>
      <c r="E10" s="268">
        <v>15000000</v>
      </c>
      <c r="F10" s="268">
        <v>14904908.49</v>
      </c>
      <c r="G10" s="269">
        <v>3.1300000000000001E-2</v>
      </c>
      <c r="H10" s="269">
        <v>2.2954700000000001E-2</v>
      </c>
      <c r="I10" s="270">
        <v>-157146.59</v>
      </c>
      <c r="J10" s="270">
        <v>157146.59</v>
      </c>
      <c r="L10" s="176"/>
      <c r="M10" s="133" t="s">
        <v>139</v>
      </c>
      <c r="N10" s="177">
        <f>+N9</f>
        <v>46599</v>
      </c>
      <c r="O10" s="164" t="s">
        <v>123</v>
      </c>
      <c r="P10" s="176" t="s">
        <v>40</v>
      </c>
    </row>
    <row r="11" spans="1:16" ht="13.5" thickBot="1" x14ac:dyDescent="0.25">
      <c r="A11" s="170" t="s">
        <v>128</v>
      </c>
      <c r="B11" s="171">
        <v>45644</v>
      </c>
      <c r="C11" s="172">
        <v>45644</v>
      </c>
      <c r="D11" s="172">
        <v>46385</v>
      </c>
      <c r="E11" s="173">
        <v>5700000</v>
      </c>
      <c r="F11" s="173">
        <v>5700000</v>
      </c>
      <c r="G11" s="174">
        <v>2.9175E-2</v>
      </c>
      <c r="H11" s="174">
        <v>2.2954700000000001E-2</v>
      </c>
      <c r="I11" s="175">
        <v>18973.32</v>
      </c>
      <c r="J11" s="275">
        <v>18973.32</v>
      </c>
      <c r="L11" s="176"/>
      <c r="M11" s="133" t="s">
        <v>140</v>
      </c>
      <c r="N11" s="177">
        <f>+N10</f>
        <v>46599</v>
      </c>
      <c r="O11" s="164" t="s">
        <v>123</v>
      </c>
      <c r="P11" s="176" t="s">
        <v>40</v>
      </c>
    </row>
    <row r="12" spans="1:16" ht="13.5" thickBot="1" x14ac:dyDescent="0.25">
      <c r="B12" s="182"/>
      <c r="C12" s="183"/>
      <c r="D12" s="183"/>
      <c r="E12" s="184">
        <f>SUM(E7:E11)</f>
        <v>125700000</v>
      </c>
      <c r="F12" s="185">
        <f>SUM(F7:F11)</f>
        <v>124977752.02999999</v>
      </c>
      <c r="G12" s="183"/>
      <c r="H12" s="183"/>
      <c r="I12" s="185">
        <f>SUM(I7:I11)</f>
        <v>-333326.76999999996</v>
      </c>
      <c r="J12" s="276">
        <f>SUM(J7:J11)</f>
        <v>-19033.590000000004</v>
      </c>
      <c r="L12" s="176"/>
      <c r="M12" s="181"/>
      <c r="N12" s="177"/>
      <c r="P12" s="176"/>
    </row>
    <row r="13" spans="1:16" ht="13.5" thickBot="1" x14ac:dyDescent="0.25">
      <c r="B13" s="186"/>
      <c r="C13" s="176"/>
      <c r="E13" s="187"/>
      <c r="F13" s="188">
        <f>+F12/F25</f>
        <v>0.89475775630511356</v>
      </c>
      <c r="I13" s="189"/>
      <c r="J13" s="277"/>
      <c r="L13" s="176"/>
      <c r="M13" s="181"/>
      <c r="N13" s="177"/>
      <c r="P13" s="176"/>
    </row>
    <row r="14" spans="1:16" hidden="1" outlineLevel="1" x14ac:dyDescent="0.2">
      <c r="A14" s="165"/>
      <c r="B14" s="186"/>
      <c r="C14" s="176" t="s">
        <v>125</v>
      </c>
      <c r="E14" s="176"/>
      <c r="F14" s="176" t="s">
        <v>106</v>
      </c>
      <c r="G14" s="250" t="s">
        <v>133</v>
      </c>
      <c r="H14" s="250"/>
      <c r="I14" s="251"/>
      <c r="J14" s="278"/>
      <c r="L14" s="176"/>
      <c r="M14" s="181"/>
      <c r="N14" s="177"/>
      <c r="P14" s="176"/>
    </row>
    <row r="15" spans="1:16" hidden="1" outlineLevel="1" x14ac:dyDescent="0.2">
      <c r="A15" s="190" t="s">
        <v>109</v>
      </c>
      <c r="B15" s="186"/>
      <c r="C15" s="191">
        <v>55000000</v>
      </c>
      <c r="D15" s="172"/>
      <c r="E15" s="192"/>
      <c r="F15" s="191">
        <v>39000000</v>
      </c>
      <c r="G15" s="193"/>
      <c r="I15" s="189"/>
      <c r="J15" s="277"/>
      <c r="N15" s="176"/>
      <c r="P15" s="176"/>
    </row>
    <row r="16" spans="1:16" hidden="1" outlineLevel="1" x14ac:dyDescent="0.2">
      <c r="A16" s="190" t="s">
        <v>126</v>
      </c>
      <c r="B16" s="186"/>
      <c r="C16" s="191">
        <v>90000000</v>
      </c>
      <c r="D16" s="172"/>
      <c r="E16" s="192"/>
      <c r="F16" s="192">
        <v>89277752.050000012</v>
      </c>
      <c r="I16" s="189"/>
      <c r="J16" s="277"/>
      <c r="N16" s="176"/>
      <c r="P16" s="176"/>
    </row>
    <row r="17" spans="1:16" hidden="1" outlineLevel="1" x14ac:dyDescent="0.2">
      <c r="A17" s="190" t="s">
        <v>141</v>
      </c>
      <c r="B17" s="186"/>
      <c r="C17" s="191">
        <v>20000000</v>
      </c>
      <c r="D17" s="172"/>
      <c r="E17" s="192"/>
      <c r="F17" s="192">
        <v>11400000</v>
      </c>
      <c r="I17" s="189"/>
      <c r="J17" s="277"/>
      <c r="N17" s="176"/>
      <c r="P17" s="176"/>
    </row>
    <row r="18" spans="1:16" collapsed="1" x14ac:dyDescent="0.2">
      <c r="A18" s="165"/>
      <c r="B18" s="186"/>
      <c r="C18" s="191"/>
      <c r="D18" s="172"/>
      <c r="E18" s="192"/>
      <c r="F18" s="192"/>
      <c r="I18" s="189"/>
      <c r="J18" s="277"/>
      <c r="N18" s="176"/>
      <c r="P18" s="176"/>
    </row>
    <row r="19" spans="1:16" ht="33.75" customHeight="1" x14ac:dyDescent="0.2">
      <c r="A19" s="165" t="s">
        <v>19</v>
      </c>
      <c r="B19" s="186"/>
      <c r="C19" s="191"/>
      <c r="D19" s="172"/>
      <c r="E19" s="192"/>
      <c r="F19" s="192"/>
      <c r="I19" s="189"/>
      <c r="J19" s="277"/>
      <c r="M19" s="176"/>
      <c r="N19" s="177"/>
      <c r="P19" s="176"/>
    </row>
    <row r="20" spans="1:16" x14ac:dyDescent="0.2">
      <c r="A20" s="170"/>
      <c r="B20" s="186"/>
      <c r="C20" s="176" t="s">
        <v>125</v>
      </c>
      <c r="D20" s="172"/>
      <c r="E20" s="192"/>
      <c r="F20" s="192"/>
      <c r="I20" s="189"/>
      <c r="J20" s="277"/>
      <c r="M20" s="176"/>
      <c r="N20" s="177"/>
      <c r="P20" s="176"/>
    </row>
    <row r="21" spans="1:16" x14ac:dyDescent="0.2">
      <c r="A21" s="170" t="s">
        <v>109</v>
      </c>
      <c r="B21" s="186"/>
      <c r="C21" s="191">
        <v>55000000</v>
      </c>
      <c r="D21" s="172"/>
      <c r="E21" s="192"/>
      <c r="F21" s="192">
        <f>SUM(F15:F17)-F12</f>
        <v>14700000.020000026</v>
      </c>
      <c r="I21" s="189"/>
      <c r="J21" s="277"/>
      <c r="M21" s="176"/>
      <c r="N21" s="177"/>
      <c r="P21" s="176"/>
    </row>
    <row r="22" spans="1:16" x14ac:dyDescent="0.2">
      <c r="A22" s="170"/>
      <c r="B22" s="186"/>
      <c r="C22" s="191"/>
      <c r="D22" s="172"/>
      <c r="E22" s="192"/>
      <c r="F22" s="192"/>
      <c r="I22" s="189"/>
      <c r="J22" s="277"/>
      <c r="M22" s="176"/>
      <c r="N22" s="177"/>
      <c r="P22" s="176"/>
    </row>
    <row r="23" spans="1:16" ht="13.5" thickBot="1" x14ac:dyDescent="0.25">
      <c r="B23" s="194"/>
      <c r="C23" s="195"/>
      <c r="D23" s="195"/>
      <c r="E23" s="196"/>
      <c r="F23" s="196">
        <f>F21</f>
        <v>14700000.020000026</v>
      </c>
      <c r="G23" s="195"/>
      <c r="H23" s="195"/>
      <c r="I23" s="197"/>
      <c r="J23" s="279"/>
      <c r="M23" s="176"/>
      <c r="N23" s="177"/>
      <c r="P23" s="176"/>
    </row>
    <row r="24" spans="1:16" ht="13.5" thickBot="1" x14ac:dyDescent="0.25">
      <c r="B24" s="186"/>
      <c r="F24" s="188">
        <f>+F23/F25</f>
        <v>0.10524224369488644</v>
      </c>
      <c r="I24" s="189"/>
      <c r="J24" s="277"/>
      <c r="M24" s="176"/>
      <c r="N24" s="177"/>
      <c r="P24" s="176"/>
    </row>
    <row r="25" spans="1:16" ht="13.5" thickBot="1" x14ac:dyDescent="0.25">
      <c r="A25" s="198" t="s">
        <v>117</v>
      </c>
      <c r="B25" s="199"/>
      <c r="C25" s="200"/>
      <c r="D25" s="200"/>
      <c r="E25" s="201">
        <f>+E12+F21</f>
        <v>140400000.02000004</v>
      </c>
      <c r="F25" s="202">
        <f>+F12+F23</f>
        <v>139677752.05000001</v>
      </c>
      <c r="G25" s="200"/>
      <c r="H25" s="200"/>
      <c r="I25" s="203"/>
      <c r="J25" s="280"/>
      <c r="M25" s="176"/>
      <c r="N25" s="177"/>
      <c r="P25" s="176"/>
    </row>
    <row r="26" spans="1:16" ht="13.5" thickTop="1" x14ac:dyDescent="0.2">
      <c r="B26" s="186"/>
      <c r="I26" s="189"/>
      <c r="J26" s="277"/>
      <c r="M26" s="176"/>
      <c r="N26" s="177"/>
      <c r="P26" s="176"/>
    </row>
    <row r="27" spans="1:16" ht="13.5" thickBot="1" x14ac:dyDescent="0.25">
      <c r="B27" s="204"/>
      <c r="C27" s="205"/>
      <c r="D27" s="205"/>
      <c r="E27" s="205"/>
      <c r="F27" s="205"/>
      <c r="G27" s="205"/>
      <c r="H27" s="205"/>
      <c r="I27" s="206"/>
      <c r="J27" s="281"/>
      <c r="N27" s="176"/>
    </row>
    <row r="28" spans="1:16" x14ac:dyDescent="0.2">
      <c r="N28" s="176"/>
    </row>
    <row r="29" spans="1:16" x14ac:dyDescent="0.2">
      <c r="A29" s="164" t="s">
        <v>42</v>
      </c>
      <c r="B29" s="207"/>
      <c r="E29" s="187">
        <f>F12</f>
        <v>124977752.02999999</v>
      </c>
      <c r="F29" s="208">
        <f>+E29/E29+E30</f>
        <v>1</v>
      </c>
      <c r="H29" s="209"/>
    </row>
    <row r="30" spans="1:16" x14ac:dyDescent="0.2">
      <c r="A30" s="164" t="s">
        <v>115</v>
      </c>
      <c r="B30" s="207"/>
      <c r="E30" s="187">
        <v>0</v>
      </c>
    </row>
    <row r="31" spans="1:16" x14ac:dyDescent="0.2">
      <c r="B31" s="210"/>
    </row>
    <row r="32" spans="1:16" x14ac:dyDescent="0.2">
      <c r="A32" s="164" t="s">
        <v>142</v>
      </c>
      <c r="B32" s="211">
        <f>+F13</f>
        <v>0.89475775630511356</v>
      </c>
      <c r="C32" s="164" t="s">
        <v>108</v>
      </c>
    </row>
    <row r="33" spans="1:2" x14ac:dyDescent="0.2">
      <c r="B33" s="210"/>
    </row>
    <row r="34" spans="1:2" x14ac:dyDescent="0.2">
      <c r="A34" s="164" t="s">
        <v>62</v>
      </c>
    </row>
    <row r="35" spans="1:2" x14ac:dyDescent="0.2">
      <c r="B35" s="210"/>
    </row>
  </sheetData>
  <mergeCells count="2">
    <mergeCell ref="B3:I3"/>
    <mergeCell ref="G14:I14"/>
  </mergeCells>
  <pageMargins left="0.70866141732283472" right="0.70866141732283472" top="0.74803149606299213" bottom="0.74803149606299213" header="0.31496062992125984" footer="0.31496062992125984"/>
  <pageSetup scale="47" orientation="landscape" r:id="rId1"/>
  <headerFooter>
    <oddFooter>&amp;L&amp;Z
&amp;F&amp;C&amp;A&amp;R&amp;D
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F4C66-5DD5-48AC-B8F5-69070E4D9FDD}">
  <sheetPr>
    <pageSetUpPr fitToPage="1"/>
  </sheetPr>
  <dimension ref="A1:O33"/>
  <sheetViews>
    <sheetView zoomScaleNormal="100" workbookViewId="0">
      <selection activeCell="L23" sqref="L23"/>
    </sheetView>
  </sheetViews>
  <sheetFormatPr baseColWidth="10" defaultColWidth="11.5703125" defaultRowHeight="15" outlineLevelRow="1" x14ac:dyDescent="0.25"/>
  <cols>
    <col min="1" max="1" width="35.28515625" style="114" customWidth="1"/>
    <col min="2" max="2" width="12.5703125" style="114" customWidth="1"/>
    <col min="3" max="3" width="13.7109375" style="114" bestFit="1" customWidth="1"/>
    <col min="4" max="4" width="11.5703125" style="114"/>
    <col min="5" max="6" width="15.28515625" style="114" bestFit="1" customWidth="1"/>
    <col min="7" max="7" width="14.5703125" style="114" customWidth="1"/>
    <col min="8" max="8" width="17.7109375" style="114" customWidth="1"/>
    <col min="9" max="9" width="27.85546875" style="114" customWidth="1"/>
    <col min="10" max="10" width="3.28515625" style="114" customWidth="1"/>
    <col min="11" max="11" width="15.28515625" style="114" bestFit="1" customWidth="1"/>
    <col min="12" max="12" width="18.140625" style="114" customWidth="1"/>
    <col min="13" max="13" width="11.5703125" style="114"/>
    <col min="14" max="14" width="32.85546875" style="114" customWidth="1"/>
    <col min="15" max="15" width="11.85546875" style="114" customWidth="1"/>
    <col min="16" max="16384" width="11.5703125" style="114"/>
  </cols>
  <sheetData>
    <row r="1" spans="1:15" x14ac:dyDescent="0.25">
      <c r="A1" s="114" t="s">
        <v>9</v>
      </c>
    </row>
    <row r="2" spans="1:15" ht="15.75" thickBot="1" x14ac:dyDescent="0.3"/>
    <row r="3" spans="1:15" ht="15.75" thickBot="1" x14ac:dyDescent="0.3">
      <c r="A3" s="114" t="s">
        <v>0</v>
      </c>
      <c r="B3" s="252">
        <v>45565</v>
      </c>
      <c r="C3" s="253"/>
      <c r="D3" s="253"/>
      <c r="E3" s="253"/>
      <c r="F3" s="253"/>
      <c r="G3" s="253"/>
      <c r="H3" s="253"/>
      <c r="I3" s="254"/>
    </row>
    <row r="4" spans="1:15" ht="60.6" customHeight="1" x14ac:dyDescent="0.25">
      <c r="A4" s="115" t="s">
        <v>116</v>
      </c>
      <c r="B4" s="116" t="s">
        <v>80</v>
      </c>
      <c r="C4" s="117" t="s">
        <v>81</v>
      </c>
      <c r="D4" s="117" t="s">
        <v>82</v>
      </c>
      <c r="E4" s="118" t="s">
        <v>83</v>
      </c>
      <c r="F4" s="118" t="s">
        <v>97</v>
      </c>
      <c r="G4" s="117" t="s">
        <v>10</v>
      </c>
      <c r="H4" s="117" t="s">
        <v>127</v>
      </c>
      <c r="I4" s="119" t="s">
        <v>98</v>
      </c>
      <c r="K4" s="117"/>
      <c r="L4" s="117" t="s">
        <v>101</v>
      </c>
      <c r="M4" s="117" t="s">
        <v>102</v>
      </c>
      <c r="O4" s="114" t="s">
        <v>103</v>
      </c>
    </row>
    <row r="5" spans="1:15" x14ac:dyDescent="0.25">
      <c r="A5" s="120"/>
      <c r="B5" s="121"/>
      <c r="C5" s="122"/>
      <c r="D5" s="122"/>
      <c r="E5" s="123"/>
      <c r="F5" s="123"/>
      <c r="G5" s="124"/>
      <c r="H5" s="124"/>
      <c r="I5" s="125" t="s">
        <v>118</v>
      </c>
      <c r="K5" s="126"/>
      <c r="L5" s="127"/>
      <c r="M5" s="128"/>
      <c r="O5" s="126"/>
    </row>
    <row r="6" spans="1:15" x14ac:dyDescent="0.25">
      <c r="A6" s="120"/>
      <c r="B6" s="121"/>
      <c r="C6" s="122"/>
      <c r="D6" s="122"/>
      <c r="E6" s="129"/>
      <c r="F6" s="129"/>
      <c r="G6" s="130"/>
      <c r="H6" s="130"/>
      <c r="I6" s="131" t="s">
        <v>104</v>
      </c>
      <c r="K6" s="126"/>
      <c r="L6" s="132"/>
      <c r="M6" s="128"/>
      <c r="O6" s="126"/>
    </row>
    <row r="7" spans="1:15" x14ac:dyDescent="0.25">
      <c r="A7" s="120" t="s">
        <v>128</v>
      </c>
      <c r="B7" s="121">
        <v>45499</v>
      </c>
      <c r="C7" s="122">
        <v>45499</v>
      </c>
      <c r="D7" s="122">
        <v>49151</v>
      </c>
      <c r="E7" s="123">
        <v>30000000</v>
      </c>
      <c r="F7" s="123">
        <v>30000000</v>
      </c>
      <c r="G7" s="124">
        <v>2.87E-2</v>
      </c>
      <c r="H7" s="124">
        <v>2.2954700000000001E-2</v>
      </c>
      <c r="I7" s="125">
        <v>150611.89000000001</v>
      </c>
      <c r="K7" s="126"/>
      <c r="L7" s="133" t="s">
        <v>129</v>
      </c>
      <c r="M7" s="128">
        <v>46599</v>
      </c>
      <c r="N7" s="114" t="s">
        <v>123</v>
      </c>
      <c r="O7" s="126" t="s">
        <v>31</v>
      </c>
    </row>
    <row r="8" spans="1:15" x14ac:dyDescent="0.25">
      <c r="A8" s="120" t="s">
        <v>128</v>
      </c>
      <c r="B8" s="121">
        <v>45499</v>
      </c>
      <c r="C8" s="122">
        <v>45499</v>
      </c>
      <c r="D8" s="122">
        <v>47325</v>
      </c>
      <c r="E8" s="123">
        <v>45000000</v>
      </c>
      <c r="F8" s="123">
        <v>44857558.25</v>
      </c>
      <c r="G8" s="124">
        <v>2.7799999999999998E-2</v>
      </c>
      <c r="H8" s="124">
        <v>2.2954700000000001E-2</v>
      </c>
      <c r="I8" s="125">
        <v>318054.81</v>
      </c>
      <c r="K8" s="126"/>
      <c r="L8" s="133" t="s">
        <v>130</v>
      </c>
      <c r="M8" s="128">
        <v>46599</v>
      </c>
      <c r="N8" s="114" t="s">
        <v>123</v>
      </c>
      <c r="O8" s="126" t="s">
        <v>31</v>
      </c>
    </row>
    <row r="9" spans="1:15" x14ac:dyDescent="0.25">
      <c r="A9" s="120" t="s">
        <v>128</v>
      </c>
      <c r="B9" s="121">
        <v>45517</v>
      </c>
      <c r="C9" s="122">
        <v>45517</v>
      </c>
      <c r="D9" s="122">
        <v>47325</v>
      </c>
      <c r="E9" s="123">
        <v>30000000</v>
      </c>
      <c r="F9" s="123">
        <v>29895616</v>
      </c>
      <c r="G9" s="124">
        <v>2.4799999999999999E-2</v>
      </c>
      <c r="H9" s="124">
        <v>2.2954700000000001E-2</v>
      </c>
      <c r="I9" s="125">
        <v>-195510.96</v>
      </c>
      <c r="K9" s="126"/>
      <c r="L9" s="133" t="s">
        <v>131</v>
      </c>
      <c r="M9" s="128">
        <f>+M8</f>
        <v>46599</v>
      </c>
      <c r="N9" s="114" t="s">
        <v>123</v>
      </c>
      <c r="O9" s="126" t="s">
        <v>31</v>
      </c>
    </row>
    <row r="10" spans="1:15" ht="15.75" thickBot="1" x14ac:dyDescent="0.3">
      <c r="A10" s="120" t="s">
        <v>121</v>
      </c>
      <c r="B10" s="121">
        <v>45524</v>
      </c>
      <c r="C10" s="122">
        <v>45524</v>
      </c>
      <c r="D10" s="122">
        <v>46594</v>
      </c>
      <c r="E10" s="123">
        <v>15000000</v>
      </c>
      <c r="F10" s="123">
        <v>14976387.869999999</v>
      </c>
      <c r="G10" s="124">
        <v>3.1300000000000001E-2</v>
      </c>
      <c r="H10" s="124">
        <v>2.2954700000000001E-2</v>
      </c>
      <c r="I10" s="125">
        <v>-168757.38</v>
      </c>
      <c r="K10" s="126"/>
      <c r="L10" s="133" t="s">
        <v>132</v>
      </c>
      <c r="M10" s="128">
        <f>+M9</f>
        <v>46599</v>
      </c>
      <c r="N10" s="114" t="s">
        <v>123</v>
      </c>
      <c r="O10" s="126" t="s">
        <v>40</v>
      </c>
    </row>
    <row r="11" spans="1:15" ht="15.75" thickBot="1" x14ac:dyDescent="0.3">
      <c r="B11" s="134"/>
      <c r="C11" s="135"/>
      <c r="D11" s="135"/>
      <c r="E11" s="136">
        <f>SUM(E7:E10)</f>
        <v>120000000</v>
      </c>
      <c r="F11" s="136">
        <f>SUM(F7:F10)</f>
        <v>119729562.12</v>
      </c>
      <c r="G11" s="135"/>
      <c r="H11" s="135"/>
      <c r="I11" s="137"/>
      <c r="K11" s="126"/>
      <c r="L11" s="132"/>
      <c r="M11" s="128"/>
      <c r="O11" s="126"/>
    </row>
    <row r="12" spans="1:15" ht="15.75" thickBot="1" x14ac:dyDescent="0.3">
      <c r="B12" s="138"/>
      <c r="C12" s="126"/>
      <c r="E12" s="139"/>
      <c r="F12" s="140">
        <f>+F11/F23</f>
        <v>0.91585682823673176</v>
      </c>
      <c r="I12" s="141"/>
      <c r="K12" s="126"/>
      <c r="L12" s="132"/>
      <c r="M12" s="128"/>
      <c r="O12" s="126"/>
    </row>
    <row r="13" spans="1:15" hidden="1" outlineLevel="1" x14ac:dyDescent="0.25">
      <c r="A13" s="115"/>
      <c r="B13" s="138"/>
      <c r="C13" s="126" t="s">
        <v>125</v>
      </c>
      <c r="E13" s="126"/>
      <c r="F13" s="126" t="s">
        <v>106</v>
      </c>
      <c r="G13" s="255" t="s">
        <v>133</v>
      </c>
      <c r="H13" s="255"/>
      <c r="I13" s="256"/>
      <c r="K13" s="126"/>
      <c r="L13" s="132"/>
      <c r="M13" s="128"/>
      <c r="O13" s="126"/>
    </row>
    <row r="14" spans="1:15" hidden="1" outlineLevel="1" x14ac:dyDescent="0.25">
      <c r="A14" s="142" t="s">
        <v>109</v>
      </c>
      <c r="B14" s="138"/>
      <c r="C14" s="143">
        <v>55000000</v>
      </c>
      <c r="D14" s="122"/>
      <c r="E14" s="144"/>
      <c r="F14" s="143">
        <v>41000000</v>
      </c>
      <c r="G14" s="145"/>
      <c r="I14" s="141"/>
      <c r="M14" s="126"/>
      <c r="O14" s="126"/>
    </row>
    <row r="15" spans="1:15" hidden="1" outlineLevel="1" x14ac:dyDescent="0.25">
      <c r="A15" s="142" t="s">
        <v>126</v>
      </c>
      <c r="B15" s="138"/>
      <c r="C15" s="143">
        <v>90000000</v>
      </c>
      <c r="D15" s="122"/>
      <c r="E15" s="144"/>
      <c r="F15" s="144">
        <f>F8+F9+F10</f>
        <v>89729562.120000005</v>
      </c>
      <c r="I15" s="141"/>
      <c r="M15" s="126"/>
      <c r="O15" s="126"/>
    </row>
    <row r="16" spans="1:15" collapsed="1" x14ac:dyDescent="0.25">
      <c r="A16" s="115"/>
      <c r="B16" s="138"/>
      <c r="C16" s="143"/>
      <c r="D16" s="122"/>
      <c r="E16" s="144"/>
      <c r="F16" s="144"/>
      <c r="I16" s="141"/>
      <c r="M16" s="126"/>
      <c r="O16" s="126"/>
    </row>
    <row r="17" spans="1:15" ht="33.75" customHeight="1" x14ac:dyDescent="0.25">
      <c r="A17" s="115" t="s">
        <v>19</v>
      </c>
      <c r="B17" s="138"/>
      <c r="C17" s="143"/>
      <c r="D17" s="122"/>
      <c r="E17" s="144"/>
      <c r="F17" s="144"/>
      <c r="I17" s="141"/>
      <c r="L17" s="126"/>
      <c r="M17" s="128"/>
      <c r="O17" s="126"/>
    </row>
    <row r="18" spans="1:15" x14ac:dyDescent="0.25">
      <c r="A18" s="120"/>
      <c r="B18" s="138"/>
      <c r="C18" s="126" t="s">
        <v>125</v>
      </c>
      <c r="D18" s="122"/>
      <c r="E18" s="144"/>
      <c r="F18" s="144"/>
      <c r="I18" s="141"/>
      <c r="L18" s="126"/>
      <c r="M18" s="128"/>
      <c r="O18" s="126"/>
    </row>
    <row r="19" spans="1:15" x14ac:dyDescent="0.25">
      <c r="A19" s="120" t="s">
        <v>109</v>
      </c>
      <c r="B19" s="138"/>
      <c r="C19" s="143">
        <v>55000000</v>
      </c>
      <c r="D19" s="122"/>
      <c r="E19" s="144"/>
      <c r="F19" s="144">
        <f>F15+F14-F11</f>
        <v>11000000</v>
      </c>
      <c r="I19" s="141"/>
      <c r="L19" s="126"/>
      <c r="M19" s="128"/>
      <c r="O19" s="126"/>
    </row>
    <row r="20" spans="1:15" x14ac:dyDescent="0.25">
      <c r="A20" s="120"/>
      <c r="B20" s="138"/>
      <c r="C20" s="143"/>
      <c r="D20" s="122"/>
      <c r="E20" s="144"/>
      <c r="F20" s="144"/>
      <c r="I20" s="141"/>
      <c r="L20" s="126"/>
      <c r="M20" s="128"/>
      <c r="O20" s="126"/>
    </row>
    <row r="21" spans="1:15" ht="15.75" thickBot="1" x14ac:dyDescent="0.3">
      <c r="B21" s="146"/>
      <c r="C21" s="147"/>
      <c r="D21" s="147"/>
      <c r="E21" s="148"/>
      <c r="F21" s="148">
        <f>F19</f>
        <v>11000000</v>
      </c>
      <c r="G21" s="147"/>
      <c r="H21" s="147"/>
      <c r="I21" s="149"/>
      <c r="L21" s="126"/>
      <c r="M21" s="128"/>
      <c r="O21" s="126"/>
    </row>
    <row r="22" spans="1:15" ht="15.75" thickBot="1" x14ac:dyDescent="0.3">
      <c r="B22" s="138"/>
      <c r="F22" s="140">
        <f>+F21/F23</f>
        <v>8.4143171763268201E-2</v>
      </c>
      <c r="I22" s="141"/>
      <c r="L22" s="126"/>
      <c r="M22" s="128"/>
      <c r="O22" s="126"/>
    </row>
    <row r="23" spans="1:15" ht="15.75" thickBot="1" x14ac:dyDescent="0.3">
      <c r="A23" s="150" t="s">
        <v>117</v>
      </c>
      <c r="B23" s="151"/>
      <c r="C23" s="152"/>
      <c r="D23" s="152"/>
      <c r="E23" s="153">
        <f>+E11+F19</f>
        <v>131000000</v>
      </c>
      <c r="F23" s="154">
        <f>+F11+F21</f>
        <v>130729562.12</v>
      </c>
      <c r="G23" s="152"/>
      <c r="H23" s="152"/>
      <c r="I23" s="155"/>
      <c r="L23" s="126"/>
      <c r="M23" s="128"/>
      <c r="O23" s="126"/>
    </row>
    <row r="24" spans="1:15" ht="15.75" thickTop="1" x14ac:dyDescent="0.25">
      <c r="B24" s="138"/>
      <c r="I24" s="141"/>
      <c r="L24" s="126"/>
      <c r="M24" s="128"/>
      <c r="O24" s="126"/>
    </row>
    <row r="25" spans="1:15" ht="15.75" thickBot="1" x14ac:dyDescent="0.3">
      <c r="B25" s="156"/>
      <c r="C25" s="157"/>
      <c r="D25" s="157"/>
      <c r="E25" s="157"/>
      <c r="F25" s="157"/>
      <c r="G25" s="157"/>
      <c r="H25" s="157"/>
      <c r="I25" s="158"/>
      <c r="M25" s="126"/>
    </row>
    <row r="26" spans="1:15" x14ac:dyDescent="0.25">
      <c r="M26" s="126"/>
    </row>
    <row r="27" spans="1:15" x14ac:dyDescent="0.25">
      <c r="A27" s="114" t="s">
        <v>42</v>
      </c>
      <c r="B27" s="159"/>
      <c r="E27" s="139">
        <f>F11</f>
        <v>119729562.12</v>
      </c>
      <c r="F27" s="160">
        <f>+E27/E27+E28</f>
        <v>1</v>
      </c>
      <c r="H27" s="161"/>
    </row>
    <row r="28" spans="1:15" x14ac:dyDescent="0.25">
      <c r="A28" s="114" t="s">
        <v>115</v>
      </c>
      <c r="B28" s="159"/>
      <c r="E28" s="139">
        <v>0</v>
      </c>
    </row>
    <row r="29" spans="1:15" x14ac:dyDescent="0.25">
      <c r="B29" s="162"/>
    </row>
    <row r="30" spans="1:15" x14ac:dyDescent="0.25">
      <c r="A30" s="114" t="s">
        <v>134</v>
      </c>
      <c r="B30" s="163">
        <f>+F12</f>
        <v>0.91585682823673176</v>
      </c>
      <c r="C30" s="114" t="s">
        <v>108</v>
      </c>
    </row>
    <row r="31" spans="1:15" x14ac:dyDescent="0.25">
      <c r="B31" s="162"/>
    </row>
    <row r="32" spans="1:15" x14ac:dyDescent="0.25">
      <c r="A32" s="114" t="s">
        <v>62</v>
      </c>
    </row>
    <row r="33" spans="2:2" x14ac:dyDescent="0.25">
      <c r="B33" s="162"/>
    </row>
  </sheetData>
  <mergeCells count="2">
    <mergeCell ref="B3:I3"/>
    <mergeCell ref="G13:I13"/>
  </mergeCells>
  <pageMargins left="0.70866141732283472" right="0.70866141732283472" top="0.74803149606299213" bottom="0.74803149606299213" header="0.31496062992125984" footer="0.31496062992125984"/>
  <pageSetup scale="49" orientation="landscape" r:id="rId1"/>
  <headerFooter>
    <oddFooter>&amp;L&amp;Z
&amp;F&amp;C&amp;A&amp;R&amp;D
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794ED-D1F8-455D-8C05-5B42DE3EA940}">
  <sheetPr>
    <pageSetUpPr fitToPage="1"/>
  </sheetPr>
  <dimension ref="A1:O36"/>
  <sheetViews>
    <sheetView zoomScaleNormal="100" workbookViewId="0">
      <selection activeCell="L28" sqref="L28"/>
    </sheetView>
  </sheetViews>
  <sheetFormatPr baseColWidth="10" defaultColWidth="11.5703125" defaultRowHeight="15" outlineLevelRow="1" x14ac:dyDescent="0.25"/>
  <cols>
    <col min="1" max="1" width="28.28515625" customWidth="1"/>
    <col min="2" max="2" width="12.5703125" customWidth="1"/>
    <col min="3" max="3" width="13.7109375" bestFit="1" customWidth="1"/>
    <col min="5" max="6" width="15.28515625" bestFit="1" customWidth="1"/>
    <col min="7" max="8" width="14.5703125" customWidth="1"/>
    <col min="9" max="9" width="27.85546875" customWidth="1"/>
    <col min="10" max="10" width="3.28515625" customWidth="1"/>
    <col min="11" max="11" width="15.28515625" bestFit="1" customWidth="1"/>
    <col min="12" max="12" width="18.140625" customWidth="1"/>
    <col min="14" max="14" width="32.85546875" customWidth="1"/>
    <col min="15" max="15" width="11.85546875" customWidth="1"/>
  </cols>
  <sheetData>
    <row r="1" spans="1:15" x14ac:dyDescent="0.25">
      <c r="A1" t="s">
        <v>9</v>
      </c>
    </row>
    <row r="2" spans="1:15" ht="15.75" thickBot="1" x14ac:dyDescent="0.3"/>
    <row r="3" spans="1:15" ht="15.75" thickBot="1" x14ac:dyDescent="0.3">
      <c r="A3" t="s">
        <v>0</v>
      </c>
      <c r="B3" s="257" t="s">
        <v>120</v>
      </c>
      <c r="C3" s="258"/>
      <c r="D3" s="258"/>
      <c r="E3" s="258"/>
      <c r="F3" s="258"/>
      <c r="G3" s="258"/>
      <c r="H3" s="258"/>
      <c r="I3" s="259"/>
    </row>
    <row r="4" spans="1:15" ht="30" x14ac:dyDescent="0.25">
      <c r="A4" s="24" t="s">
        <v>116</v>
      </c>
      <c r="B4" s="26" t="s">
        <v>80</v>
      </c>
      <c r="C4" s="21" t="s">
        <v>81</v>
      </c>
      <c r="D4" s="21" t="s">
        <v>82</v>
      </c>
      <c r="E4" s="3" t="s">
        <v>83</v>
      </c>
      <c r="F4" s="3" t="s">
        <v>97</v>
      </c>
      <c r="G4" s="21" t="s">
        <v>10</v>
      </c>
      <c r="H4" s="21" t="s">
        <v>99</v>
      </c>
      <c r="I4" s="28" t="s">
        <v>98</v>
      </c>
      <c r="K4" s="21"/>
      <c r="L4" s="21" t="s">
        <v>101</v>
      </c>
      <c r="M4" s="21" t="s">
        <v>102</v>
      </c>
      <c r="O4" t="s">
        <v>103</v>
      </c>
    </row>
    <row r="5" spans="1:15" x14ac:dyDescent="0.25">
      <c r="A5" s="27"/>
      <c r="B5" s="5"/>
      <c r="C5" s="6"/>
      <c r="D5" s="6"/>
      <c r="E5" s="7"/>
      <c r="F5" s="7"/>
      <c r="G5" s="32"/>
      <c r="H5" s="32"/>
      <c r="I5" s="9" t="s">
        <v>118</v>
      </c>
      <c r="K5" s="23"/>
      <c r="L5" s="25"/>
      <c r="M5" s="33"/>
      <c r="O5" s="23"/>
    </row>
    <row r="6" spans="1:15" x14ac:dyDescent="0.25">
      <c r="A6" s="27"/>
      <c r="B6" s="5"/>
      <c r="C6" s="6"/>
      <c r="D6" s="6"/>
      <c r="E6" s="71"/>
      <c r="F6" s="71"/>
      <c r="G6" s="72"/>
      <c r="H6" s="72"/>
      <c r="I6" s="73" t="s">
        <v>104</v>
      </c>
      <c r="K6" s="23"/>
      <c r="L6" s="74"/>
      <c r="M6" s="33"/>
      <c r="O6" s="23"/>
    </row>
    <row r="7" spans="1:15" x14ac:dyDescent="0.25">
      <c r="A7" s="27" t="s">
        <v>4</v>
      </c>
      <c r="B7" s="5">
        <v>45406</v>
      </c>
      <c r="C7" s="6">
        <v>45408</v>
      </c>
      <c r="D7" s="50">
        <v>45775</v>
      </c>
      <c r="E7" s="7">
        <v>11400000</v>
      </c>
      <c r="F7" s="7">
        <v>11400000</v>
      </c>
      <c r="G7" s="32">
        <v>4.6699999999999998E-2</v>
      </c>
      <c r="H7" s="32">
        <v>0.02</v>
      </c>
      <c r="I7" s="9">
        <v>22933.63</v>
      </c>
      <c r="K7" s="23"/>
      <c r="L7" s="25" t="s">
        <v>114</v>
      </c>
      <c r="M7" s="51">
        <v>47330</v>
      </c>
      <c r="N7" t="s">
        <v>123</v>
      </c>
      <c r="O7" s="23" t="s">
        <v>31</v>
      </c>
    </row>
    <row r="8" spans="1:15" x14ac:dyDescent="0.25">
      <c r="A8" s="27" t="s">
        <v>5</v>
      </c>
      <c r="B8" s="5">
        <v>43249</v>
      </c>
      <c r="C8" s="6">
        <v>43430</v>
      </c>
      <c r="D8" s="50">
        <v>50551</v>
      </c>
      <c r="E8" s="7">
        <v>21557728.260000002</v>
      </c>
      <c r="F8" s="7">
        <v>18512331.59</v>
      </c>
      <c r="G8" s="32">
        <v>2.9399999999999999E-2</v>
      </c>
      <c r="H8" s="32">
        <v>0.02</v>
      </c>
      <c r="I8" s="9">
        <v>-1257428.6100000001</v>
      </c>
      <c r="K8" s="23"/>
      <c r="L8" s="25" t="s">
        <v>112</v>
      </c>
      <c r="M8" s="51">
        <v>47330</v>
      </c>
      <c r="N8" t="s">
        <v>123</v>
      </c>
      <c r="O8" s="23" t="s">
        <v>31</v>
      </c>
    </row>
    <row r="9" spans="1:15" x14ac:dyDescent="0.25">
      <c r="A9" s="27" t="s">
        <v>51</v>
      </c>
      <c r="B9" s="58">
        <v>44608</v>
      </c>
      <c r="C9" s="6">
        <v>44620</v>
      </c>
      <c r="D9" s="50">
        <v>48270</v>
      </c>
      <c r="E9" s="7">
        <v>24700000</v>
      </c>
      <c r="F9" s="7">
        <v>23359605.329999998</v>
      </c>
      <c r="G9" s="32">
        <v>2.5325E-2</v>
      </c>
      <c r="H9" s="32">
        <v>0.02</v>
      </c>
      <c r="I9" s="9">
        <v>-1626582.28</v>
      </c>
      <c r="K9" s="23"/>
      <c r="L9" s="25" t="s">
        <v>111</v>
      </c>
      <c r="M9" s="51">
        <f>+M8</f>
        <v>47330</v>
      </c>
      <c r="N9" t="s">
        <v>123</v>
      </c>
      <c r="O9" s="23" t="s">
        <v>31</v>
      </c>
    </row>
    <row r="10" spans="1:15" x14ac:dyDescent="0.25">
      <c r="A10" s="27" t="s">
        <v>121</v>
      </c>
      <c r="B10" s="58">
        <v>45504</v>
      </c>
      <c r="C10" s="6">
        <v>45504</v>
      </c>
      <c r="D10" s="49">
        <v>47330</v>
      </c>
      <c r="E10" s="7">
        <v>30000000</v>
      </c>
      <c r="F10" s="7">
        <v>30000000</v>
      </c>
      <c r="G10" s="32">
        <v>2.4799999999999999E-2</v>
      </c>
      <c r="H10" s="32">
        <v>0.02</v>
      </c>
      <c r="I10" s="9">
        <v>-1294476</v>
      </c>
      <c r="K10" s="23"/>
      <c r="L10" s="25" t="s">
        <v>122</v>
      </c>
      <c r="M10" s="33">
        <f>+M9</f>
        <v>47330</v>
      </c>
      <c r="N10" t="s">
        <v>123</v>
      </c>
      <c r="O10" s="23" t="s">
        <v>40</v>
      </c>
    </row>
    <row r="11" spans="1:15" x14ac:dyDescent="0.25">
      <c r="A11" s="76" t="s">
        <v>2</v>
      </c>
      <c r="B11" s="77">
        <v>44883</v>
      </c>
      <c r="C11" s="78">
        <v>44895</v>
      </c>
      <c r="D11" s="78">
        <v>48544</v>
      </c>
      <c r="E11" s="79">
        <v>5000000</v>
      </c>
      <c r="F11" s="79">
        <v>4711849.71</v>
      </c>
      <c r="G11" s="80">
        <v>3.4000000000000002E-2</v>
      </c>
      <c r="H11" s="80">
        <v>0.02</v>
      </c>
      <c r="I11" s="81">
        <v>-2306.88</v>
      </c>
      <c r="J11" s="82"/>
      <c r="K11" s="83"/>
      <c r="L11" s="84" t="s">
        <v>113</v>
      </c>
      <c r="M11" s="85">
        <v>48547</v>
      </c>
      <c r="N11" s="82" t="s">
        <v>21</v>
      </c>
      <c r="O11" s="83" t="s">
        <v>28</v>
      </c>
    </row>
    <row r="12" spans="1:15" x14ac:dyDescent="0.25">
      <c r="A12" s="76" t="s">
        <v>2</v>
      </c>
      <c r="B12" s="77">
        <v>44893</v>
      </c>
      <c r="C12" s="78">
        <v>44895</v>
      </c>
      <c r="D12" s="78">
        <v>48544</v>
      </c>
      <c r="E12" s="79">
        <v>9644992</v>
      </c>
      <c r="F12" s="79">
        <v>9081380.2699999996</v>
      </c>
      <c r="G12" s="80">
        <v>3.2500000000000001E-2</v>
      </c>
      <c r="H12" s="80">
        <v>0.02</v>
      </c>
      <c r="I12" s="81">
        <v>-86859.66</v>
      </c>
      <c r="J12" s="82"/>
      <c r="K12" s="83"/>
      <c r="L12" s="84" t="s">
        <v>113</v>
      </c>
      <c r="M12" s="85">
        <v>48547</v>
      </c>
      <c r="N12" s="82" t="s">
        <v>21</v>
      </c>
      <c r="O12" s="83" t="s">
        <v>28</v>
      </c>
    </row>
    <row r="13" spans="1:15" ht="15.75" thickBot="1" x14ac:dyDescent="0.3">
      <c r="A13" s="27" t="s">
        <v>71</v>
      </c>
      <c r="B13" s="5">
        <v>45000</v>
      </c>
      <c r="C13" s="6">
        <v>45012</v>
      </c>
      <c r="D13" s="50">
        <v>47568</v>
      </c>
      <c r="E13" s="71">
        <v>8856000</v>
      </c>
      <c r="F13" s="71">
        <v>8534787.4499999993</v>
      </c>
      <c r="G13" s="72">
        <v>3.2899999999999999E-2</v>
      </c>
      <c r="H13" s="32">
        <v>0.02</v>
      </c>
      <c r="I13" s="73">
        <v>-163205.81</v>
      </c>
      <c r="K13" s="23"/>
      <c r="L13" s="74"/>
      <c r="M13" s="33">
        <v>47330</v>
      </c>
      <c r="N13" t="s">
        <v>123</v>
      </c>
      <c r="O13" s="23" t="s">
        <v>40</v>
      </c>
    </row>
    <row r="14" spans="1:15" ht="15.75" thickBot="1" x14ac:dyDescent="0.3">
      <c r="B14" s="36"/>
      <c r="C14" s="37"/>
      <c r="D14" s="37"/>
      <c r="E14" s="38">
        <f>SUM(E7:E13)</f>
        <v>111158720.26000001</v>
      </c>
      <c r="F14" s="38">
        <f>SUM(F7:F13)</f>
        <v>105599954.34999999</v>
      </c>
      <c r="G14" s="37"/>
      <c r="H14" s="37"/>
      <c r="I14" s="39"/>
      <c r="M14" s="23"/>
      <c r="O14" s="23"/>
    </row>
    <row r="15" spans="1:15" ht="15.75" thickBot="1" x14ac:dyDescent="0.3">
      <c r="B15" s="2"/>
      <c r="E15" s="20"/>
      <c r="F15" s="56">
        <f>+F14/F26</f>
        <v>0.79698078754716972</v>
      </c>
      <c r="I15" s="40"/>
      <c r="M15" s="23"/>
      <c r="O15" s="23"/>
    </row>
    <row r="16" spans="1:15" x14ac:dyDescent="0.25">
      <c r="A16" s="24"/>
      <c r="B16" s="2"/>
      <c r="C16" s="23" t="s">
        <v>125</v>
      </c>
      <c r="E16" s="23"/>
      <c r="F16" s="23" t="s">
        <v>106</v>
      </c>
      <c r="G16" s="260" t="s">
        <v>124</v>
      </c>
      <c r="H16" s="260"/>
      <c r="I16" s="261"/>
      <c r="M16" s="23"/>
      <c r="O16" s="23"/>
    </row>
    <row r="17" spans="1:15" ht="33.75" hidden="1" customHeight="1" outlineLevel="1" x14ac:dyDescent="0.25">
      <c r="A17" s="113" t="s">
        <v>109</v>
      </c>
      <c r="B17" s="2"/>
      <c r="C17" s="112">
        <v>55000000</v>
      </c>
      <c r="D17" s="6"/>
      <c r="E17" s="42"/>
      <c r="F17" s="112">
        <v>42500000</v>
      </c>
      <c r="G17" s="70"/>
      <c r="I17" s="40"/>
      <c r="L17" s="23" t="s">
        <v>26</v>
      </c>
      <c r="M17" s="33">
        <v>47330</v>
      </c>
      <c r="N17" t="s">
        <v>123</v>
      </c>
      <c r="O17" s="23" t="s">
        <v>61</v>
      </c>
    </row>
    <row r="18" spans="1:15" hidden="1" outlineLevel="1" x14ac:dyDescent="0.25">
      <c r="A18" s="113" t="s">
        <v>126</v>
      </c>
      <c r="B18" s="2"/>
      <c r="C18" s="112">
        <v>90000000</v>
      </c>
      <c r="D18" s="6"/>
      <c r="E18" s="42"/>
      <c r="F18" s="42">
        <v>90000000</v>
      </c>
      <c r="I18" s="40"/>
      <c r="L18" s="23" t="s">
        <v>26</v>
      </c>
      <c r="M18" s="33">
        <v>47330</v>
      </c>
      <c r="N18" t="s">
        <v>123</v>
      </c>
      <c r="O18" s="23" t="s">
        <v>61</v>
      </c>
    </row>
    <row r="19" spans="1:15" collapsed="1" x14ac:dyDescent="0.25">
      <c r="A19" s="24"/>
      <c r="B19" s="2"/>
      <c r="C19" s="112"/>
      <c r="D19" s="6"/>
      <c r="E19" s="42"/>
      <c r="F19" s="42"/>
      <c r="I19" s="40"/>
      <c r="L19" s="23"/>
      <c r="M19" s="33"/>
      <c r="O19" s="23"/>
    </row>
    <row r="20" spans="1:15" x14ac:dyDescent="0.25">
      <c r="A20" s="24" t="s">
        <v>19</v>
      </c>
      <c r="B20" s="2"/>
      <c r="C20" s="112"/>
      <c r="D20" s="6"/>
      <c r="E20" s="42"/>
      <c r="F20" s="42"/>
      <c r="I20" s="40"/>
      <c r="L20" s="23"/>
      <c r="M20" s="33"/>
      <c r="O20" s="23"/>
    </row>
    <row r="21" spans="1:15" x14ac:dyDescent="0.25">
      <c r="A21" s="27"/>
      <c r="B21" s="2"/>
      <c r="C21" s="112"/>
      <c r="D21" s="6"/>
      <c r="E21" s="42"/>
      <c r="F21" s="42"/>
      <c r="I21" s="40"/>
      <c r="L21" s="23"/>
      <c r="M21" s="33"/>
      <c r="O21" s="23"/>
    </row>
    <row r="22" spans="1:15" x14ac:dyDescent="0.25">
      <c r="A22" s="27" t="s">
        <v>109</v>
      </c>
      <c r="B22" s="2"/>
      <c r="C22" s="112">
        <v>55000000</v>
      </c>
      <c r="D22" s="6"/>
      <c r="E22" s="42"/>
      <c r="F22" s="42">
        <f>F18+F17-F14</f>
        <v>26900045.650000006</v>
      </c>
      <c r="I22" s="40"/>
      <c r="L22" s="23" t="s">
        <v>26</v>
      </c>
      <c r="M22" s="33">
        <v>47330</v>
      </c>
      <c r="N22" t="s">
        <v>123</v>
      </c>
      <c r="O22" s="23" t="s">
        <v>61</v>
      </c>
    </row>
    <row r="23" spans="1:15" x14ac:dyDescent="0.25">
      <c r="A23" s="27"/>
      <c r="B23" s="2"/>
      <c r="C23" s="112"/>
      <c r="D23" s="6"/>
      <c r="E23" s="42"/>
      <c r="F23" s="42"/>
      <c r="I23" s="40"/>
      <c r="L23" s="23"/>
      <c r="M23" s="33"/>
      <c r="O23" s="23"/>
    </row>
    <row r="24" spans="1:15" ht="15.75" thickBot="1" x14ac:dyDescent="0.3">
      <c r="B24" s="43"/>
      <c r="C24" s="34"/>
      <c r="D24" s="34"/>
      <c r="E24" s="35">
        <f>SUM(E17:E18)</f>
        <v>0</v>
      </c>
      <c r="F24" s="35">
        <f>F22</f>
        <v>26900045.650000006</v>
      </c>
      <c r="G24" s="34"/>
      <c r="H24" s="34"/>
      <c r="I24" s="44"/>
      <c r="L24" s="23"/>
      <c r="M24" s="33"/>
      <c r="O24" s="23"/>
    </row>
    <row r="25" spans="1:15" ht="15.75" thickBot="1" x14ac:dyDescent="0.3">
      <c r="B25" s="2"/>
      <c r="F25" s="56">
        <f>+F24/F26</f>
        <v>0.20301921245283022</v>
      </c>
      <c r="I25" s="40"/>
      <c r="M25" s="23"/>
    </row>
    <row r="26" spans="1:15" ht="15.75" thickBot="1" x14ac:dyDescent="0.3">
      <c r="A26" s="29" t="s">
        <v>117</v>
      </c>
      <c r="B26" s="45"/>
      <c r="C26" s="30"/>
      <c r="D26" s="30"/>
      <c r="E26" s="31">
        <f>+E14+E24</f>
        <v>111158720.26000001</v>
      </c>
      <c r="F26" s="57">
        <f>+F14+F24</f>
        <v>132500000</v>
      </c>
      <c r="G26" s="30"/>
      <c r="H26" s="30"/>
      <c r="I26" s="46"/>
      <c r="M26" s="23"/>
    </row>
    <row r="27" spans="1:15" ht="15.75" thickTop="1" x14ac:dyDescent="0.25">
      <c r="B27" s="2"/>
      <c r="I27" s="40"/>
    </row>
    <row r="28" spans="1:15" ht="15.75" thickBot="1" x14ac:dyDescent="0.3">
      <c r="B28" s="10"/>
      <c r="C28" s="11"/>
      <c r="D28" s="11"/>
      <c r="E28" s="11"/>
      <c r="F28" s="11"/>
      <c r="G28" s="11"/>
      <c r="H28" s="11"/>
      <c r="I28" s="47"/>
    </row>
    <row r="30" spans="1:15" x14ac:dyDescent="0.25">
      <c r="A30" s="53" t="s">
        <v>42</v>
      </c>
      <c r="B30" s="54"/>
      <c r="E30" s="20">
        <f>F10</f>
        <v>30000000</v>
      </c>
      <c r="F30" s="75">
        <f>+E30/E31</f>
        <v>0.29268292682926828</v>
      </c>
      <c r="H30" s="100"/>
    </row>
    <row r="31" spans="1:15" x14ac:dyDescent="0.25">
      <c r="A31" s="52" t="s">
        <v>115</v>
      </c>
      <c r="B31" s="55"/>
      <c r="E31" s="20">
        <f>F14-E30+F24</f>
        <v>102500000</v>
      </c>
    </row>
    <row r="32" spans="1:15" x14ac:dyDescent="0.25">
      <c r="B32" s="22"/>
    </row>
    <row r="33" spans="1:3" x14ac:dyDescent="0.25">
      <c r="A33" t="s">
        <v>119</v>
      </c>
      <c r="B33" s="75">
        <f>+F15</f>
        <v>0.79698078754716972</v>
      </c>
      <c r="C33" t="s">
        <v>108</v>
      </c>
    </row>
    <row r="34" spans="1:3" x14ac:dyDescent="0.25">
      <c r="B34" s="22"/>
    </row>
    <row r="35" spans="1:3" x14ac:dyDescent="0.25">
      <c r="A35" t="s">
        <v>62</v>
      </c>
    </row>
    <row r="36" spans="1:3" x14ac:dyDescent="0.25">
      <c r="B36" s="22"/>
    </row>
  </sheetData>
  <mergeCells count="2">
    <mergeCell ref="B3:I3"/>
    <mergeCell ref="G16:I16"/>
  </mergeCells>
  <phoneticPr fontId="7" type="noConversion"/>
  <pageMargins left="0.70866141732283472" right="0.70866141732283472" top="0.74803149606299213" bottom="0.74803149606299213" header="0.31496062992125984" footer="0.31496062992125984"/>
  <pageSetup scale="49" orientation="landscape" r:id="rId1"/>
  <headerFooter>
    <oddFooter>&amp;L&amp;Z
&amp;F&amp;C&amp;A&amp;R&amp;D
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A41F5-ADE6-484E-AB98-E43686B92414}">
  <sheetPr>
    <pageSetUpPr fitToPage="1"/>
  </sheetPr>
  <dimension ref="A1:O33"/>
  <sheetViews>
    <sheetView zoomScaleNormal="100" workbookViewId="0">
      <selection activeCell="E20" sqref="E20"/>
    </sheetView>
  </sheetViews>
  <sheetFormatPr baseColWidth="10" defaultColWidth="11.5703125" defaultRowHeight="15" x14ac:dyDescent="0.25"/>
  <cols>
    <col min="1" max="1" width="28.28515625" customWidth="1"/>
    <col min="2" max="2" width="12.5703125" customWidth="1"/>
    <col min="3" max="3" width="13.7109375" bestFit="1" customWidth="1"/>
    <col min="5" max="6" width="15.28515625" bestFit="1" customWidth="1"/>
    <col min="7" max="8" width="14.5703125" customWidth="1"/>
    <col min="9" max="9" width="27.85546875" customWidth="1"/>
    <col min="10" max="10" width="3.28515625" customWidth="1"/>
    <col min="11" max="11" width="15.28515625" bestFit="1" customWidth="1"/>
    <col min="12" max="12" width="18.140625" customWidth="1"/>
    <col min="14" max="14" width="24.7109375" customWidth="1"/>
    <col min="15" max="15" width="11.85546875" customWidth="1"/>
  </cols>
  <sheetData>
    <row r="1" spans="1:15" x14ac:dyDescent="0.25">
      <c r="A1" t="s">
        <v>9</v>
      </c>
    </row>
    <row r="2" spans="1:15" ht="15.75" thickBot="1" x14ac:dyDescent="0.3"/>
    <row r="3" spans="1:15" ht="15.75" thickBot="1" x14ac:dyDescent="0.3">
      <c r="A3" t="s">
        <v>0</v>
      </c>
      <c r="B3" s="257">
        <v>45473</v>
      </c>
      <c r="C3" s="258"/>
      <c r="D3" s="258"/>
      <c r="E3" s="258"/>
      <c r="F3" s="258"/>
      <c r="G3" s="258"/>
      <c r="H3" s="258"/>
      <c r="I3" s="259"/>
    </row>
    <row r="4" spans="1:15" ht="30" x14ac:dyDescent="0.25">
      <c r="A4" s="24" t="s">
        <v>116</v>
      </c>
      <c r="B4" s="26" t="s">
        <v>80</v>
      </c>
      <c r="C4" s="21" t="s">
        <v>81</v>
      </c>
      <c r="D4" s="21" t="s">
        <v>82</v>
      </c>
      <c r="E4" s="3" t="s">
        <v>83</v>
      </c>
      <c r="F4" s="3" t="s">
        <v>97</v>
      </c>
      <c r="G4" s="21" t="s">
        <v>10</v>
      </c>
      <c r="H4" s="21" t="s">
        <v>99</v>
      </c>
      <c r="I4" s="28" t="s">
        <v>98</v>
      </c>
      <c r="K4" s="21" t="s">
        <v>100</v>
      </c>
      <c r="L4" s="21" t="s">
        <v>101</v>
      </c>
      <c r="M4" s="21" t="s">
        <v>102</v>
      </c>
      <c r="O4" t="s">
        <v>103</v>
      </c>
    </row>
    <row r="5" spans="1:15" x14ac:dyDescent="0.25">
      <c r="A5" s="27"/>
      <c r="B5" s="5"/>
      <c r="C5" s="6"/>
      <c r="D5" s="6"/>
      <c r="E5" s="7"/>
      <c r="F5" s="7"/>
      <c r="G5" s="32"/>
      <c r="H5" s="32"/>
      <c r="I5" s="9" t="s">
        <v>118</v>
      </c>
      <c r="K5" s="23"/>
      <c r="L5" s="25"/>
      <c r="M5" s="33"/>
      <c r="O5" s="23"/>
    </row>
    <row r="6" spans="1:15" x14ac:dyDescent="0.25">
      <c r="A6" s="27"/>
      <c r="B6" s="5"/>
      <c r="C6" s="6"/>
      <c r="D6" s="6"/>
      <c r="E6" s="71"/>
      <c r="F6" s="71"/>
      <c r="G6" s="72"/>
      <c r="H6" s="72"/>
      <c r="I6" s="73" t="s">
        <v>104</v>
      </c>
      <c r="K6" s="23"/>
      <c r="L6" s="74"/>
      <c r="M6" s="33"/>
      <c r="O6" s="23"/>
    </row>
    <row r="7" spans="1:15" x14ac:dyDescent="0.25">
      <c r="A7" s="27" t="s">
        <v>4</v>
      </c>
      <c r="B7" s="5">
        <v>45406</v>
      </c>
      <c r="C7" s="6">
        <v>45408</v>
      </c>
      <c r="D7" s="50">
        <v>45775</v>
      </c>
      <c r="E7" s="7">
        <v>11400000</v>
      </c>
      <c r="F7" s="7">
        <v>11400000</v>
      </c>
      <c r="G7" s="32">
        <v>4.6699999999999998E-2</v>
      </c>
      <c r="H7" s="32">
        <v>2.2499999999999999E-2</v>
      </c>
      <c r="I7" s="9">
        <v>22933.63</v>
      </c>
      <c r="K7" s="23" t="s">
        <v>36</v>
      </c>
      <c r="L7" s="25" t="s">
        <v>114</v>
      </c>
      <c r="M7" s="51">
        <v>45281</v>
      </c>
      <c r="N7" t="s">
        <v>24</v>
      </c>
      <c r="O7" s="23" t="s">
        <v>31</v>
      </c>
    </row>
    <row r="8" spans="1:15" x14ac:dyDescent="0.25">
      <c r="A8" s="27" t="s">
        <v>5</v>
      </c>
      <c r="B8" s="5">
        <v>43249</v>
      </c>
      <c r="C8" s="6">
        <v>43430</v>
      </c>
      <c r="D8" s="50">
        <v>50551</v>
      </c>
      <c r="E8" s="7">
        <v>21557728.260000002</v>
      </c>
      <c r="F8" s="7">
        <v>18612984.57</v>
      </c>
      <c r="G8" s="32">
        <v>2.9399999999999999E-2</v>
      </c>
      <c r="H8" s="32">
        <v>2.2499999999999999E-2</v>
      </c>
      <c r="I8" s="9">
        <v>-1257428.6100000001</v>
      </c>
      <c r="K8" s="23" t="s">
        <v>36</v>
      </c>
      <c r="L8" s="25" t="s">
        <v>112</v>
      </c>
      <c r="M8" s="51">
        <v>45281</v>
      </c>
      <c r="N8" t="s">
        <v>24</v>
      </c>
      <c r="O8" s="23" t="s">
        <v>31</v>
      </c>
    </row>
    <row r="9" spans="1:15" x14ac:dyDescent="0.25">
      <c r="A9" s="27" t="s">
        <v>51</v>
      </c>
      <c r="B9" s="58">
        <v>44608</v>
      </c>
      <c r="C9" s="6">
        <v>44620</v>
      </c>
      <c r="D9" s="50">
        <v>48270</v>
      </c>
      <c r="E9" s="7">
        <v>24700000</v>
      </c>
      <c r="F9" s="7">
        <v>23409361.18</v>
      </c>
      <c r="G9" s="32">
        <v>2.5325E-2</v>
      </c>
      <c r="H9" s="32">
        <v>2.2499999999999999E-2</v>
      </c>
      <c r="I9" s="9">
        <v>-1626582.28</v>
      </c>
      <c r="K9" s="23"/>
      <c r="L9" s="25" t="s">
        <v>111</v>
      </c>
      <c r="M9" s="51">
        <f>+M8</f>
        <v>45281</v>
      </c>
      <c r="N9" t="s">
        <v>24</v>
      </c>
      <c r="O9" s="23" t="s">
        <v>31</v>
      </c>
    </row>
    <row r="10" spans="1:15" x14ac:dyDescent="0.25">
      <c r="A10" s="27" t="s">
        <v>51</v>
      </c>
      <c r="B10" s="58">
        <f>+B9</f>
        <v>44608</v>
      </c>
      <c r="C10" s="6">
        <v>45286</v>
      </c>
      <c r="D10" s="50">
        <v>46444</v>
      </c>
      <c r="E10" s="7">
        <v>10000000</v>
      </c>
      <c r="F10" s="7">
        <v>9469149</v>
      </c>
      <c r="G10" s="32">
        <v>2.3910000000000001E-2</v>
      </c>
      <c r="H10" s="32">
        <v>2.2499999999999999E-2</v>
      </c>
      <c r="I10" s="9">
        <f>-1461705.36+1072931.79</f>
        <v>-388773.57000000007</v>
      </c>
      <c r="K10" s="23"/>
      <c r="L10" s="25" t="s">
        <v>35</v>
      </c>
      <c r="M10" s="51">
        <f>+M9</f>
        <v>45281</v>
      </c>
      <c r="N10" t="s">
        <v>24</v>
      </c>
      <c r="O10" s="23" t="s">
        <v>31</v>
      </c>
    </row>
    <row r="11" spans="1:15" x14ac:dyDescent="0.25">
      <c r="A11" s="27" t="s">
        <v>51</v>
      </c>
      <c r="B11" s="58">
        <f>+B9</f>
        <v>44608</v>
      </c>
      <c r="C11" s="6">
        <v>45286</v>
      </c>
      <c r="D11" s="50">
        <v>50066</v>
      </c>
      <c r="E11" s="7">
        <v>10000000</v>
      </c>
      <c r="F11" s="7">
        <v>9486341</v>
      </c>
      <c r="G11" s="32">
        <v>2.632E-2</v>
      </c>
      <c r="H11" s="32">
        <v>2.2499999999999999E-2</v>
      </c>
      <c r="I11" s="9">
        <f>-4803498.49+3897796.4</f>
        <v>-905702.09000000032</v>
      </c>
      <c r="K11" s="23"/>
      <c r="L11" s="25" t="s">
        <v>110</v>
      </c>
      <c r="M11" s="51">
        <f>+M10</f>
        <v>45281</v>
      </c>
      <c r="N11" t="s">
        <v>24</v>
      </c>
      <c r="O11" s="23" t="s">
        <v>40</v>
      </c>
    </row>
    <row r="12" spans="1:15" x14ac:dyDescent="0.25">
      <c r="A12" s="76" t="s">
        <v>2</v>
      </c>
      <c r="B12" s="77">
        <v>44883</v>
      </c>
      <c r="C12" s="78">
        <v>44895</v>
      </c>
      <c r="D12" s="78">
        <v>48544</v>
      </c>
      <c r="E12" s="79">
        <v>5000000</v>
      </c>
      <c r="F12" s="79">
        <v>4725600.2300000004</v>
      </c>
      <c r="G12" s="80">
        <v>3.4000000000000002E-2</v>
      </c>
      <c r="H12" s="88">
        <v>1.7999999999999999E-2</v>
      </c>
      <c r="I12" s="81">
        <v>-2306.88</v>
      </c>
      <c r="J12" s="82"/>
      <c r="K12" s="83" t="s">
        <v>63</v>
      </c>
      <c r="L12" s="84" t="s">
        <v>113</v>
      </c>
      <c r="M12" s="85">
        <v>48547</v>
      </c>
      <c r="N12" s="82" t="s">
        <v>21</v>
      </c>
      <c r="O12" s="83" t="s">
        <v>28</v>
      </c>
    </row>
    <row r="13" spans="1:15" x14ac:dyDescent="0.25">
      <c r="A13" s="76" t="s">
        <v>2</v>
      </c>
      <c r="B13" s="77">
        <v>44893</v>
      </c>
      <c r="C13" s="78">
        <v>44895</v>
      </c>
      <c r="D13" s="78">
        <v>48544</v>
      </c>
      <c r="E13" s="79">
        <v>9644992</v>
      </c>
      <c r="F13" s="79">
        <v>9108245.0800000001</v>
      </c>
      <c r="G13" s="80">
        <v>3.2500000000000001E-2</v>
      </c>
      <c r="H13" s="88">
        <v>1.7999999999999999E-2</v>
      </c>
      <c r="I13" s="81">
        <v>-86859.66</v>
      </c>
      <c r="J13" s="82"/>
      <c r="K13" s="83" t="s">
        <v>63</v>
      </c>
      <c r="L13" s="84" t="s">
        <v>113</v>
      </c>
      <c r="M13" s="85">
        <v>48547</v>
      </c>
      <c r="N13" s="82" t="s">
        <v>21</v>
      </c>
      <c r="O13" s="83" t="s">
        <v>28</v>
      </c>
    </row>
    <row r="14" spans="1:15" ht="15.75" thickBot="1" x14ac:dyDescent="0.3">
      <c r="A14" s="27" t="s">
        <v>71</v>
      </c>
      <c r="B14" s="5">
        <v>45000</v>
      </c>
      <c r="C14" s="6">
        <v>45012</v>
      </c>
      <c r="D14" s="6">
        <v>47568</v>
      </c>
      <c r="E14" s="71">
        <v>8856000</v>
      </c>
      <c r="F14" s="71">
        <v>8556133.75</v>
      </c>
      <c r="G14" s="72">
        <v>3.2899999999999999E-2</v>
      </c>
      <c r="H14" s="72">
        <v>2.2499999999999999E-2</v>
      </c>
      <c r="I14" s="73">
        <v>-163205.81</v>
      </c>
      <c r="K14" s="23"/>
      <c r="L14" s="74"/>
      <c r="M14" s="33"/>
      <c r="O14" s="23"/>
    </row>
    <row r="15" spans="1:15" ht="15.75" thickBot="1" x14ac:dyDescent="0.3">
      <c r="B15" s="36"/>
      <c r="C15" s="37"/>
      <c r="D15" s="37"/>
      <c r="E15" s="38">
        <f>SUM(E7:E14)</f>
        <v>101158720.26000001</v>
      </c>
      <c r="F15" s="38">
        <f>SUM(F7:F14)</f>
        <v>94767814.810000002</v>
      </c>
      <c r="G15" s="37"/>
      <c r="H15" s="37"/>
      <c r="I15" s="39"/>
      <c r="M15" s="23"/>
      <c r="O15" s="23"/>
    </row>
    <row r="16" spans="1:15" ht="15.75" thickBot="1" x14ac:dyDescent="0.3">
      <c r="B16" s="2"/>
      <c r="E16" s="20"/>
      <c r="F16" s="56">
        <f>+F15/F23</f>
        <v>0.75443137512527847</v>
      </c>
      <c r="I16" s="40"/>
      <c r="M16" s="23"/>
      <c r="O16" s="23"/>
    </row>
    <row r="17" spans="1:15" ht="33.75" customHeight="1" x14ac:dyDescent="0.25">
      <c r="A17" s="24" t="s">
        <v>19</v>
      </c>
      <c r="B17" s="2"/>
      <c r="E17" s="23" t="s">
        <v>105</v>
      </c>
      <c r="F17" s="23" t="s">
        <v>106</v>
      </c>
      <c r="G17" s="260" t="s">
        <v>64</v>
      </c>
      <c r="H17" s="260"/>
      <c r="I17" s="261"/>
      <c r="M17" s="23"/>
      <c r="O17" s="23"/>
    </row>
    <row r="18" spans="1:15" x14ac:dyDescent="0.25">
      <c r="A18" s="27" t="s">
        <v>109</v>
      </c>
      <c r="B18" s="2"/>
      <c r="C18" s="262">
        <v>35000000</v>
      </c>
      <c r="D18" s="6"/>
      <c r="E18" s="42"/>
      <c r="F18" s="42">
        <f>7700000+2300000</f>
        <v>10000000</v>
      </c>
      <c r="G18" s="263" t="s">
        <v>65</v>
      </c>
      <c r="H18" s="263"/>
      <c r="I18" s="264"/>
      <c r="L18" s="23" t="s">
        <v>26</v>
      </c>
      <c r="M18" s="33">
        <v>45281</v>
      </c>
      <c r="N18" t="s">
        <v>24</v>
      </c>
      <c r="O18" s="23" t="s">
        <v>61</v>
      </c>
    </row>
    <row r="19" spans="1:15" x14ac:dyDescent="0.25">
      <c r="A19" s="27" t="s">
        <v>109</v>
      </c>
      <c r="B19" s="2"/>
      <c r="C19" s="262"/>
      <c r="D19" s="6"/>
      <c r="E19" s="42"/>
      <c r="F19" s="42">
        <f>20835000-2300000-3000000-3500000-4535000</f>
        <v>7500000</v>
      </c>
      <c r="G19" s="263" t="s">
        <v>65</v>
      </c>
      <c r="H19" s="263"/>
      <c r="I19" s="264"/>
      <c r="L19" s="23" t="s">
        <v>26</v>
      </c>
      <c r="M19" s="33">
        <v>45281</v>
      </c>
      <c r="N19" t="s">
        <v>24</v>
      </c>
      <c r="O19" s="23" t="s">
        <v>61</v>
      </c>
    </row>
    <row r="20" spans="1:15" x14ac:dyDescent="0.25">
      <c r="A20" s="27" t="s">
        <v>3</v>
      </c>
      <c r="B20" s="2"/>
      <c r="C20" s="92"/>
      <c r="D20" s="6"/>
      <c r="E20" s="42">
        <f>6857172+7172462.85+5500000+7912500</f>
        <v>27442134.850000001</v>
      </c>
      <c r="F20" s="42">
        <v>13347076</v>
      </c>
      <c r="G20" s="23" t="s">
        <v>79</v>
      </c>
      <c r="H20" s="99">
        <v>2.4500000000000001E-2</v>
      </c>
      <c r="I20" s="40"/>
      <c r="L20" s="23"/>
      <c r="M20" s="33"/>
      <c r="O20" s="23"/>
    </row>
    <row r="21" spans="1:15" ht="15.75" thickBot="1" x14ac:dyDescent="0.3">
      <c r="B21" s="43"/>
      <c r="C21" s="34"/>
      <c r="D21" s="34"/>
      <c r="E21" s="35">
        <f>SUM(E18:E20)</f>
        <v>27442134.850000001</v>
      </c>
      <c r="F21" s="35">
        <f>SUM(F18:F20)</f>
        <v>30847076</v>
      </c>
      <c r="G21" s="34"/>
      <c r="H21" s="34"/>
      <c r="I21" s="44"/>
      <c r="M21" s="23"/>
    </row>
    <row r="22" spans="1:15" ht="15.75" thickBot="1" x14ac:dyDescent="0.3">
      <c r="B22" s="2"/>
      <c r="F22" s="56">
        <f>+F21/F23</f>
        <v>0.24556862487472156</v>
      </c>
      <c r="I22" s="40"/>
      <c r="M22" s="23"/>
    </row>
    <row r="23" spans="1:15" ht="15.75" thickBot="1" x14ac:dyDescent="0.3">
      <c r="A23" s="29" t="s">
        <v>117</v>
      </c>
      <c r="B23" s="45"/>
      <c r="C23" s="30"/>
      <c r="D23" s="30"/>
      <c r="E23" s="31">
        <f>+E15+E21</f>
        <v>128600855.11000001</v>
      </c>
      <c r="F23" s="57">
        <f>+F15+F21</f>
        <v>125614890.81</v>
      </c>
      <c r="G23" s="30"/>
      <c r="H23" s="30"/>
      <c r="I23" s="46"/>
    </row>
    <row r="24" spans="1:15" ht="15.75" thickTop="1" x14ac:dyDescent="0.25">
      <c r="B24" s="2"/>
      <c r="I24" s="40"/>
    </row>
    <row r="25" spans="1:15" ht="15.75" thickBot="1" x14ac:dyDescent="0.3">
      <c r="B25" s="10"/>
      <c r="C25" s="11"/>
      <c r="D25" s="11"/>
      <c r="E25" s="11"/>
      <c r="F25" s="11"/>
      <c r="G25" s="11"/>
      <c r="H25" s="11"/>
      <c r="I25" s="47"/>
    </row>
    <row r="27" spans="1:15" x14ac:dyDescent="0.25">
      <c r="A27" s="53" t="s">
        <v>42</v>
      </c>
      <c r="B27" s="54"/>
      <c r="E27" s="20">
        <v>0</v>
      </c>
      <c r="F27" s="75">
        <f>+E27/E28</f>
        <v>0</v>
      </c>
    </row>
    <row r="28" spans="1:15" x14ac:dyDescent="0.25">
      <c r="A28" s="52" t="s">
        <v>115</v>
      </c>
      <c r="B28" s="55"/>
      <c r="E28" s="100">
        <f>+E27+E20</f>
        <v>27442134.850000001</v>
      </c>
    </row>
    <row r="29" spans="1:15" x14ac:dyDescent="0.25">
      <c r="B29" s="22"/>
    </row>
    <row r="30" spans="1:15" x14ac:dyDescent="0.25">
      <c r="A30" t="s">
        <v>107</v>
      </c>
      <c r="B30" s="75">
        <f>+F16</f>
        <v>0.75443137512527847</v>
      </c>
      <c r="C30" t="s">
        <v>108</v>
      </c>
    </row>
    <row r="31" spans="1:15" x14ac:dyDescent="0.25">
      <c r="B31" s="22"/>
    </row>
    <row r="32" spans="1:15" x14ac:dyDescent="0.25">
      <c r="A32" t="s">
        <v>62</v>
      </c>
    </row>
    <row r="33" spans="2:2" x14ac:dyDescent="0.25">
      <c r="B33" s="22"/>
    </row>
  </sheetData>
  <mergeCells count="5">
    <mergeCell ref="C18:C19"/>
    <mergeCell ref="G18:I18"/>
    <mergeCell ref="G19:I19"/>
    <mergeCell ref="B3:I3"/>
    <mergeCell ref="G17:I17"/>
  </mergeCells>
  <pageMargins left="0.70866141732283472" right="0.70866141732283472" top="0.74803149606299213" bottom="0.74803149606299213" header="0.31496062992125984" footer="0.31496062992125984"/>
  <pageSetup scale="51" orientation="landscape" r:id="rId1"/>
  <headerFooter>
    <oddFooter>&amp;L&amp;Z
&amp;F&amp;C&amp;A&amp;R&amp;D
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2BA9B-7BBF-4654-BF17-593BE209726E}">
  <sheetPr>
    <pageSetUpPr fitToPage="1"/>
  </sheetPr>
  <dimension ref="A1:O92"/>
  <sheetViews>
    <sheetView zoomScaleNormal="100" workbookViewId="0">
      <selection activeCell="K83" sqref="K83"/>
    </sheetView>
  </sheetViews>
  <sheetFormatPr baseColWidth="10" defaultColWidth="11.5703125" defaultRowHeight="15" outlineLevelRow="1" x14ac:dyDescent="0.25"/>
  <cols>
    <col min="1" max="1" width="28.28515625" customWidth="1"/>
    <col min="2" max="2" width="12.42578125" customWidth="1"/>
    <col min="3" max="3" width="13.7109375" bestFit="1" customWidth="1"/>
    <col min="5" max="6" width="15.28515625" bestFit="1" customWidth="1"/>
    <col min="7" max="8" width="14.5703125" customWidth="1"/>
    <col min="9" max="9" width="27.28515625" bestFit="1" customWidth="1"/>
    <col min="10" max="10" width="3.28515625" customWidth="1"/>
    <col min="11" max="11" width="15.28515625" bestFit="1" customWidth="1"/>
    <col min="12" max="12" width="18.140625" customWidth="1"/>
    <col min="14" max="14" width="24.7109375" customWidth="1"/>
  </cols>
  <sheetData>
    <row r="1" spans="1:12" x14ac:dyDescent="0.25">
      <c r="A1" t="s">
        <v>9</v>
      </c>
    </row>
    <row r="2" spans="1:12" ht="31.15" hidden="1" customHeight="1" outlineLevel="1" thickBot="1" x14ac:dyDescent="0.3">
      <c r="A2" t="s">
        <v>0</v>
      </c>
      <c r="B2" s="257">
        <v>43830</v>
      </c>
      <c r="C2" s="258"/>
      <c r="D2" s="258"/>
      <c r="E2" s="258"/>
      <c r="F2" s="258"/>
      <c r="G2" s="258"/>
      <c r="H2" s="258"/>
      <c r="I2" s="259"/>
      <c r="K2" s="14">
        <v>43465</v>
      </c>
      <c r="L2" s="19" t="s">
        <v>6</v>
      </c>
    </row>
    <row r="3" spans="1:12" ht="30" hidden="1" outlineLevel="1" x14ac:dyDescent="0.25">
      <c r="B3" s="2" t="str">
        <f>+[1]MTM!$E$42</f>
        <v>Date de transaction</v>
      </c>
      <c r="C3" s="3" t="str">
        <f>+[1]MTM!$F$42</f>
        <v>Date de début</v>
      </c>
      <c r="D3" s="3" t="str">
        <f>+[1]MTM!$G$42</f>
        <v>Échéance</v>
      </c>
      <c r="E3" s="3" t="str">
        <f>+[1]MTM!$I$42</f>
        <v>Nominal initial du contrat</v>
      </c>
      <c r="F3" s="3" t="str">
        <f>+[1]MTM!$J$42</f>
        <v>Nominal restant</v>
      </c>
      <c r="G3" s="21" t="s">
        <v>10</v>
      </c>
      <c r="H3" s="21"/>
      <c r="I3" s="4" t="str">
        <f>+[1]MTM!$O$42</f>
        <v>Valeur indicative*</v>
      </c>
      <c r="K3" s="15" t="str">
        <f>+[1]MTM!$O$42</f>
        <v>Valeur indicative*</v>
      </c>
    </row>
    <row r="4" spans="1:12" hidden="1" outlineLevel="1" x14ac:dyDescent="0.25">
      <c r="A4" t="s">
        <v>1</v>
      </c>
      <c r="B4" s="5">
        <v>42821</v>
      </c>
      <c r="C4" s="6">
        <v>42821</v>
      </c>
      <c r="D4" s="6">
        <v>44281</v>
      </c>
      <c r="E4" s="7">
        <v>766756</v>
      </c>
      <c r="F4" s="7">
        <v>530199</v>
      </c>
      <c r="G4" s="8" t="e">
        <f>+[1]!TableIRD[Taux/ Rate]/100</f>
        <v>#REF!</v>
      </c>
      <c r="H4" s="8"/>
      <c r="I4" s="9" t="e">
        <f>+[1]!TableIRD[Valeur Indicative*/ Indicative Value *]</f>
        <v>#REF!</v>
      </c>
      <c r="K4" s="16">
        <v>-8124.27</v>
      </c>
      <c r="L4">
        <v>4213</v>
      </c>
    </row>
    <row r="5" spans="1:12" hidden="1" outlineLevel="1" x14ac:dyDescent="0.25">
      <c r="A5" t="s">
        <v>2</v>
      </c>
      <c r="B5" s="5">
        <v>41061</v>
      </c>
      <c r="C5" s="6">
        <v>43430</v>
      </c>
      <c r="D5" s="6">
        <v>44526</v>
      </c>
      <c r="E5" s="7">
        <v>16834462</v>
      </c>
      <c r="F5" s="7">
        <v>16322594</v>
      </c>
      <c r="G5" s="8" t="e">
        <f>+[2]!TableIRD[Taux/ Rate]/100</f>
        <v>#REF!</v>
      </c>
      <c r="H5" s="8"/>
      <c r="I5" s="9" t="e">
        <f>+[2]!TableIRD[Valeur Indicative*/ Indicative Value *]</f>
        <v>#REF!</v>
      </c>
      <c r="K5" s="16">
        <v>25939.91</v>
      </c>
    </row>
    <row r="6" spans="1:12" hidden="1" outlineLevel="1" x14ac:dyDescent="0.25">
      <c r="A6" t="s">
        <v>3</v>
      </c>
      <c r="B6" s="5">
        <v>41514</v>
      </c>
      <c r="C6" s="6">
        <v>43434</v>
      </c>
      <c r="D6" s="6">
        <v>45442</v>
      </c>
      <c r="E6" s="7">
        <f>+[3]MTM!I44</f>
        <v>7172462.8499999996</v>
      </c>
      <c r="F6" s="7">
        <f>+[3]MTM!J44</f>
        <v>6682927.7000000002</v>
      </c>
      <c r="G6" s="8">
        <f>+[3]MTM!K44/100</f>
        <v>3.4000000000000002E-2</v>
      </c>
      <c r="H6" s="8"/>
      <c r="I6" s="9">
        <f>+[3]MTM!O44</f>
        <v>332057.47367899999</v>
      </c>
      <c r="K6" s="16">
        <v>348277.56</v>
      </c>
    </row>
    <row r="7" spans="1:12" hidden="1" outlineLevel="1" x14ac:dyDescent="0.25">
      <c r="A7" t="s">
        <v>3</v>
      </c>
      <c r="B7" s="5">
        <v>41663</v>
      </c>
      <c r="C7" s="6">
        <v>43434</v>
      </c>
      <c r="D7" s="6">
        <v>45442</v>
      </c>
      <c r="E7" s="7">
        <f>+[3]MTM!I45</f>
        <v>4402703.46</v>
      </c>
      <c r="F7" s="7">
        <f>+[3]MTM!J45</f>
        <v>4095167.49</v>
      </c>
      <c r="G7" s="8">
        <f>+[3]MTM!K45/100</f>
        <v>0.03</v>
      </c>
      <c r="H7" s="8"/>
      <c r="I7" s="9">
        <f>+[3]MTM!O45</f>
        <v>144551.142414</v>
      </c>
      <c r="K7" s="16">
        <v>139218.39000000001</v>
      </c>
    </row>
    <row r="8" spans="1:12" hidden="1" outlineLevel="1" x14ac:dyDescent="0.25">
      <c r="A8" t="s">
        <v>3</v>
      </c>
      <c r="B8" s="5">
        <v>41716</v>
      </c>
      <c r="C8" s="6">
        <v>41789</v>
      </c>
      <c r="D8" s="6">
        <v>45442</v>
      </c>
      <c r="E8" s="7">
        <f>+[3]MTM!I46</f>
        <v>7912500</v>
      </c>
      <c r="F8" s="7">
        <f>+[3]MTM!J46</f>
        <v>5878403.1799999997</v>
      </c>
      <c r="G8" s="8">
        <f>+[3]MTM!K46/100</f>
        <v>2.8999999999999998E-2</v>
      </c>
      <c r="H8" s="8"/>
      <c r="I8" s="9">
        <f>+[3]MTM!O46</f>
        <v>186249.01923800001</v>
      </c>
      <c r="K8" s="16">
        <v>173283.54</v>
      </c>
    </row>
    <row r="9" spans="1:12" hidden="1" outlineLevel="1" x14ac:dyDescent="0.25">
      <c r="A9" t="s">
        <v>4</v>
      </c>
      <c r="B9" s="5">
        <v>43249</v>
      </c>
      <c r="C9" s="6">
        <v>43430</v>
      </c>
      <c r="D9" s="6">
        <v>45072</v>
      </c>
      <c r="E9" s="7">
        <f>+[4]MTM!I44</f>
        <v>13194518.01</v>
      </c>
      <c r="F9" s="7">
        <f>+[4]MTM!J44</f>
        <v>12854500.210000001</v>
      </c>
      <c r="G9" s="8">
        <f>+[4]MTM!K44/100</f>
        <v>2.69E-2</v>
      </c>
      <c r="H9" s="8"/>
      <c r="I9" s="9">
        <f>+[4]MTM!O44</f>
        <v>283708.78010899998</v>
      </c>
      <c r="K9" s="16">
        <v>247739.76</v>
      </c>
    </row>
    <row r="10" spans="1:12" hidden="1" outlineLevel="1" x14ac:dyDescent="0.25">
      <c r="A10" t="s">
        <v>5</v>
      </c>
      <c r="B10" s="5">
        <v>43249</v>
      </c>
      <c r="C10" s="6">
        <v>43430</v>
      </c>
      <c r="D10" s="6">
        <v>50551</v>
      </c>
      <c r="E10" s="7">
        <f>+[4]MTM!I45</f>
        <v>21557728.260000002</v>
      </c>
      <c r="F10" s="7">
        <f>+[4]MTM!J45</f>
        <v>21048899.620000001</v>
      </c>
      <c r="G10" s="8">
        <f>+[4]MTM!K45/100</f>
        <v>2.9399999999999999E-2</v>
      </c>
      <c r="H10" s="8"/>
      <c r="I10" s="9">
        <f>+[4]MTM!O45</f>
        <v>1687701.4754550001</v>
      </c>
      <c r="K10" s="16">
        <v>943238.22</v>
      </c>
    </row>
    <row r="11" spans="1:12" ht="15.75" hidden="1" outlineLevel="1" thickBot="1" x14ac:dyDescent="0.3">
      <c r="B11" s="10"/>
      <c r="C11" s="11"/>
      <c r="D11" s="11"/>
      <c r="E11" s="12"/>
      <c r="F11" s="12"/>
      <c r="G11" s="12"/>
      <c r="H11" s="12"/>
      <c r="I11" s="13" t="e">
        <f>SUM(I4:I10)</f>
        <v>#REF!</v>
      </c>
      <c r="K11" s="17">
        <f>SUM(K4:K10)</f>
        <v>1869573.1099999999</v>
      </c>
    </row>
    <row r="12" spans="1:12" ht="15.75" hidden="1" outlineLevel="1" thickBot="1" x14ac:dyDescent="0.3">
      <c r="E12" s="1"/>
      <c r="F12" s="1"/>
      <c r="G12" s="1"/>
      <c r="H12" s="1"/>
      <c r="I12" s="1"/>
    </row>
    <row r="13" spans="1:12" ht="15.75" hidden="1" outlineLevel="1" thickBot="1" x14ac:dyDescent="0.3">
      <c r="A13" t="s">
        <v>0</v>
      </c>
      <c r="B13" s="257">
        <v>43906</v>
      </c>
      <c r="C13" s="258"/>
      <c r="D13" s="258"/>
      <c r="E13" s="258"/>
      <c r="F13" s="258"/>
      <c r="G13" s="258"/>
      <c r="H13" s="258"/>
      <c r="I13" s="259"/>
    </row>
    <row r="14" spans="1:12" ht="30" hidden="1" outlineLevel="1" x14ac:dyDescent="0.25">
      <c r="B14" s="2" t="str">
        <f>+[1]MTM!$E$42</f>
        <v>Date de transaction</v>
      </c>
      <c r="C14" s="3" t="str">
        <f>+[1]MTM!$F$42</f>
        <v>Date de début</v>
      </c>
      <c r="D14" s="3" t="str">
        <f>+[1]MTM!$G$42</f>
        <v>Échéance</v>
      </c>
      <c r="E14" s="3" t="str">
        <f>+[1]MTM!$I$42</f>
        <v>Nominal initial du contrat</v>
      </c>
      <c r="F14" s="3" t="str">
        <f>+[1]MTM!$J$42</f>
        <v>Nominal restant</v>
      </c>
      <c r="G14" s="21" t="str">
        <f>+$G$3</f>
        <v>Taux Swap</v>
      </c>
      <c r="H14" s="21"/>
      <c r="I14" s="4" t="str">
        <f>+[1]MTM!$O$42</f>
        <v>Valeur indicative*</v>
      </c>
    </row>
    <row r="15" spans="1:12" hidden="1" outlineLevel="1" x14ac:dyDescent="0.25">
      <c r="A15" t="s">
        <v>1</v>
      </c>
      <c r="B15" s="5">
        <v>42821</v>
      </c>
      <c r="C15" s="6">
        <v>42821</v>
      </c>
      <c r="D15" s="6">
        <v>44281</v>
      </c>
      <c r="E15" s="7">
        <f>+E4</f>
        <v>766756</v>
      </c>
      <c r="F15" s="7">
        <v>515028</v>
      </c>
      <c r="G15" s="8">
        <v>1.49E-2</v>
      </c>
      <c r="H15" s="8"/>
      <c r="I15" s="9">
        <v>4213</v>
      </c>
      <c r="K15" s="20"/>
    </row>
    <row r="16" spans="1:12" hidden="1" outlineLevel="1" x14ac:dyDescent="0.25">
      <c r="A16" t="s">
        <v>2</v>
      </c>
      <c r="B16" s="5">
        <v>41061</v>
      </c>
      <c r="C16" s="6">
        <v>43430</v>
      </c>
      <c r="D16" s="6">
        <v>44526</v>
      </c>
      <c r="E16" s="7">
        <f t="shared" ref="E16:E21" si="0">+E5</f>
        <v>16834462</v>
      </c>
      <c r="F16" s="7">
        <v>16241895</v>
      </c>
      <c r="G16" s="8">
        <v>2.2499999999999999E-2</v>
      </c>
      <c r="H16" s="8"/>
      <c r="I16" s="9">
        <v>438758</v>
      </c>
    </row>
    <row r="17" spans="1:13" hidden="1" outlineLevel="1" x14ac:dyDescent="0.25">
      <c r="A17" t="s">
        <v>3</v>
      </c>
      <c r="B17" s="5">
        <v>41514</v>
      </c>
      <c r="C17" s="6">
        <v>43434</v>
      </c>
      <c r="D17" s="6">
        <v>45442</v>
      </c>
      <c r="E17" s="7">
        <f t="shared" si="0"/>
        <v>7172462.8499999996</v>
      </c>
      <c r="F17" s="7">
        <v>6604038</v>
      </c>
      <c r="G17" s="8">
        <v>3.4000000000000002E-2</v>
      </c>
      <c r="H17" s="8"/>
      <c r="I17" s="9">
        <v>593380</v>
      </c>
    </row>
    <row r="18" spans="1:13" hidden="1" outlineLevel="1" x14ac:dyDescent="0.25">
      <c r="A18" t="s">
        <v>3</v>
      </c>
      <c r="B18" s="5">
        <v>41663</v>
      </c>
      <c r="C18" s="6">
        <v>43434</v>
      </c>
      <c r="D18" s="6">
        <v>45442</v>
      </c>
      <c r="E18" s="7">
        <f t="shared" si="0"/>
        <v>4402703.46</v>
      </c>
      <c r="F18" s="7">
        <v>4045774</v>
      </c>
      <c r="G18" s="8">
        <v>0.03</v>
      </c>
      <c r="H18" s="8"/>
      <c r="I18" s="9">
        <v>305037</v>
      </c>
    </row>
    <row r="19" spans="1:13" hidden="1" outlineLevel="1" x14ac:dyDescent="0.25">
      <c r="A19" t="s">
        <v>3</v>
      </c>
      <c r="B19" s="5">
        <v>41716</v>
      </c>
      <c r="C19" s="6">
        <v>41789</v>
      </c>
      <c r="D19" s="6">
        <v>45442</v>
      </c>
      <c r="E19" s="7">
        <f t="shared" si="0"/>
        <v>7912500</v>
      </c>
      <c r="F19" s="7">
        <v>5806253</v>
      </c>
      <c r="G19" s="8">
        <v>2.9000000000000001E-2</v>
      </c>
      <c r="H19" s="8"/>
      <c r="I19" s="9">
        <v>416842</v>
      </c>
    </row>
    <row r="20" spans="1:13" hidden="1" outlineLevel="1" x14ac:dyDescent="0.25">
      <c r="A20" t="s">
        <v>4</v>
      </c>
      <c r="B20" s="5">
        <v>43249</v>
      </c>
      <c r="C20" s="6">
        <v>43430</v>
      </c>
      <c r="D20" s="6">
        <v>45072</v>
      </c>
      <c r="E20" s="7">
        <f t="shared" si="0"/>
        <v>13194518.01</v>
      </c>
      <c r="F20" s="7">
        <v>12800855</v>
      </c>
      <c r="G20" s="8">
        <v>2.69E-2</v>
      </c>
      <c r="H20" s="8"/>
      <c r="I20" s="9">
        <v>742735</v>
      </c>
      <c r="J20" s="18"/>
      <c r="K20" s="18"/>
      <c r="L20" s="18"/>
      <c r="M20" s="18"/>
    </row>
    <row r="21" spans="1:13" hidden="1" outlineLevel="1" x14ac:dyDescent="0.25">
      <c r="A21" t="s">
        <v>5</v>
      </c>
      <c r="B21" s="5">
        <v>43249</v>
      </c>
      <c r="C21" s="6">
        <v>43430</v>
      </c>
      <c r="D21" s="6">
        <v>50551</v>
      </c>
      <c r="E21" s="7">
        <f t="shared" si="0"/>
        <v>21557728.260000002</v>
      </c>
      <c r="F21" s="7">
        <v>20968416</v>
      </c>
      <c r="G21" s="8">
        <v>2.9399999999999999E-2</v>
      </c>
      <c r="H21" s="8"/>
      <c r="I21" s="9">
        <v>4386836</v>
      </c>
    </row>
    <row r="22" spans="1:13" ht="15.75" hidden="1" outlineLevel="1" thickBot="1" x14ac:dyDescent="0.3">
      <c r="B22" s="10"/>
      <c r="C22" s="11"/>
      <c r="D22" s="11"/>
      <c r="E22" s="12"/>
      <c r="F22" s="12"/>
      <c r="G22" s="12"/>
      <c r="H22" s="12"/>
      <c r="I22" s="13">
        <f>SUM(I15:I21)</f>
        <v>6887801</v>
      </c>
    </row>
    <row r="23" spans="1:13" hidden="1" outlineLevel="1" x14ac:dyDescent="0.25"/>
    <row r="24" spans="1:13" hidden="1" outlineLevel="1" x14ac:dyDescent="0.25">
      <c r="A24" t="s">
        <v>7</v>
      </c>
      <c r="I24" s="20" t="e">
        <f>+I22-$I$11</f>
        <v>#REF!</v>
      </c>
      <c r="K24" s="20"/>
    </row>
    <row r="25" spans="1:13" hidden="1" outlineLevel="1" x14ac:dyDescent="0.25">
      <c r="K25" s="20"/>
    </row>
    <row r="26" spans="1:13" ht="15.75" hidden="1" outlineLevel="1" thickBot="1" x14ac:dyDescent="0.3"/>
    <row r="27" spans="1:13" ht="15.75" hidden="1" outlineLevel="1" thickBot="1" x14ac:dyDescent="0.3">
      <c r="A27" t="s">
        <v>0</v>
      </c>
      <c r="B27" s="257">
        <v>43921</v>
      </c>
      <c r="C27" s="258"/>
      <c r="D27" s="258"/>
      <c r="E27" s="258"/>
      <c r="F27" s="258"/>
      <c r="G27" s="258"/>
      <c r="H27" s="258"/>
      <c r="I27" s="259"/>
    </row>
    <row r="28" spans="1:13" ht="30" hidden="1" outlineLevel="1" x14ac:dyDescent="0.25">
      <c r="B28" s="2" t="str">
        <f>+[1]MTM!$E$42</f>
        <v>Date de transaction</v>
      </c>
      <c r="C28" s="3" t="str">
        <f>+[1]MTM!$F$42</f>
        <v>Date de début</v>
      </c>
      <c r="D28" s="3" t="str">
        <f>+[1]MTM!$G$42</f>
        <v>Échéance</v>
      </c>
      <c r="E28" s="3" t="str">
        <f>+[1]MTM!$I$42</f>
        <v>Nominal initial du contrat</v>
      </c>
      <c r="F28" s="3" t="str">
        <f>+[1]MTM!$J$42</f>
        <v>Nominal restant</v>
      </c>
      <c r="G28" s="21" t="str">
        <f>+$G$3</f>
        <v>Taux Swap</v>
      </c>
      <c r="H28" s="21"/>
      <c r="I28" s="4" t="str">
        <f>+[1]MTM!$O$42</f>
        <v>Valeur indicative*</v>
      </c>
    </row>
    <row r="29" spans="1:13" hidden="1" outlineLevel="1" x14ac:dyDescent="0.25">
      <c r="A29" t="s">
        <v>1</v>
      </c>
      <c r="B29" s="5">
        <v>42821</v>
      </c>
      <c r="C29" s="6">
        <v>42821</v>
      </c>
      <c r="D29" s="6">
        <v>44281</v>
      </c>
      <c r="E29" s="7">
        <f>+E15</f>
        <v>766756</v>
      </c>
      <c r="F29" s="7">
        <v>507321</v>
      </c>
      <c r="G29" s="8">
        <v>1.49E-2</v>
      </c>
      <c r="H29" s="8"/>
      <c r="I29" s="9" t="e" cm="1">
        <f t="array" ref="I29">+[5]!TableIRD[Valeur Indicative*/ Indicative Value *]</f>
        <v>#REF!</v>
      </c>
    </row>
    <row r="30" spans="1:13" hidden="1" outlineLevel="1" x14ac:dyDescent="0.25">
      <c r="A30" t="s">
        <v>2</v>
      </c>
      <c r="B30" s="5">
        <v>41061</v>
      </c>
      <c r="C30" s="6">
        <v>43430</v>
      </c>
      <c r="D30" s="6">
        <v>43430</v>
      </c>
      <c r="E30" s="7">
        <f>+E16</f>
        <v>16834462</v>
      </c>
      <c r="F30" s="7">
        <v>16198490</v>
      </c>
      <c r="G30" s="8" t="e" cm="1">
        <f t="array" ref="G30">+[6]!TableIRD[Taux/ Rate]/100</f>
        <v>#REF!</v>
      </c>
      <c r="H30" s="8"/>
      <c r="I30" s="9" t="e" cm="1">
        <f t="array" ref="I30">+[6]!TableIRD[Valeur Indicative*/ Indicative Value *]</f>
        <v>#REF!</v>
      </c>
    </row>
    <row r="31" spans="1:13" hidden="1" outlineLevel="1" x14ac:dyDescent="0.25">
      <c r="A31" t="s">
        <v>3</v>
      </c>
      <c r="B31" s="5">
        <v>41514</v>
      </c>
      <c r="C31" s="6">
        <v>43434</v>
      </c>
      <c r="D31" s="6">
        <v>45442</v>
      </c>
      <c r="E31" s="7">
        <f>+[7]MTM!$I$44</f>
        <v>7172462.8499999996</v>
      </c>
      <c r="F31" s="7">
        <f>+[7]MTM!$J$44</f>
        <v>6565361.5700000003</v>
      </c>
      <c r="G31" s="8">
        <f>+[7]MTM!$K$44/100</f>
        <v>3.4000000000000002E-2</v>
      </c>
      <c r="H31" s="8"/>
      <c r="I31" s="9">
        <f>+[7]MTM!$O$44</f>
        <v>580658.52545900003</v>
      </c>
      <c r="K31" s="20"/>
    </row>
    <row r="32" spans="1:13" hidden="1" outlineLevel="1" x14ac:dyDescent="0.25">
      <c r="A32" t="s">
        <v>3</v>
      </c>
      <c r="B32" s="5">
        <v>41663</v>
      </c>
      <c r="C32" s="6">
        <v>43434</v>
      </c>
      <c r="D32" s="6">
        <v>45442</v>
      </c>
      <c r="E32" s="7">
        <f>+[7]MTM!$I$45</f>
        <v>4402703.46</v>
      </c>
      <c r="F32" s="7">
        <f>+[7]MTM!$J$45</f>
        <v>4021511.53</v>
      </c>
      <c r="G32" s="8">
        <f>+[7]MTM!$K$45/100</f>
        <v>0.03</v>
      </c>
      <c r="H32" s="8"/>
      <c r="I32" s="9">
        <f>+[7]MTM!$O$45</f>
        <v>298646.94936199998</v>
      </c>
    </row>
    <row r="33" spans="1:11" hidden="1" outlineLevel="1" x14ac:dyDescent="0.25">
      <c r="A33" t="s">
        <v>3</v>
      </c>
      <c r="B33" s="5">
        <v>41716</v>
      </c>
      <c r="C33" s="6">
        <v>41789</v>
      </c>
      <c r="D33" s="6">
        <v>45442</v>
      </c>
      <c r="E33" s="7">
        <f>+[7]MTM!$I$46</f>
        <v>7912500</v>
      </c>
      <c r="F33" s="7">
        <f>+[7]MTM!$J$46</f>
        <v>5772065.1100000003</v>
      </c>
      <c r="G33" s="8">
        <f>+[7]MTM!$K$46/100</f>
        <v>2.8999999999999998E-2</v>
      </c>
      <c r="H33" s="8"/>
      <c r="I33" s="9">
        <f>+[7]MTM!$O$46</f>
        <v>408092.17353500001</v>
      </c>
    </row>
    <row r="34" spans="1:11" hidden="1" outlineLevel="1" x14ac:dyDescent="0.25">
      <c r="A34" t="s">
        <v>4</v>
      </c>
      <c r="B34" s="5">
        <v>43249</v>
      </c>
      <c r="C34" s="6">
        <v>43430</v>
      </c>
      <c r="D34" s="6">
        <v>45072</v>
      </c>
      <c r="E34" s="7">
        <f>+[8]MTM!$I$44</f>
        <v>13194518.01</v>
      </c>
      <c r="F34" s="7">
        <f>+[8]MTM!$J$44</f>
        <v>12771647.140000001</v>
      </c>
      <c r="G34" s="8">
        <f>+[8]MTM!$K$44/100</f>
        <v>2.69E-2</v>
      </c>
      <c r="H34" s="8"/>
      <c r="I34" s="9">
        <f>+[8]MTM!$O$44</f>
        <v>725888.72642099997</v>
      </c>
    </row>
    <row r="35" spans="1:11" hidden="1" outlineLevel="1" x14ac:dyDescent="0.25">
      <c r="A35" t="s">
        <v>5</v>
      </c>
      <c r="B35" s="5">
        <v>43249</v>
      </c>
      <c r="C35" s="6">
        <v>43430</v>
      </c>
      <c r="D35" s="6">
        <v>50551</v>
      </c>
      <c r="E35" s="7">
        <f>+[8]MTM!$I$45</f>
        <v>21557728.260000002</v>
      </c>
      <c r="F35" s="7">
        <f>+[8]MTM!$J$45</f>
        <v>20923663.690000001</v>
      </c>
      <c r="G35" s="8">
        <f>+[8]MTM!$K$45/100</f>
        <v>2.9399999999999999E-2</v>
      </c>
      <c r="H35" s="8"/>
      <c r="I35" s="9">
        <f>+[8]MTM!$O$45</f>
        <v>4198905.0957779996</v>
      </c>
    </row>
    <row r="36" spans="1:11" ht="15.75" hidden="1" outlineLevel="1" thickBot="1" x14ac:dyDescent="0.3">
      <c r="B36" s="10"/>
      <c r="C36" s="11"/>
      <c r="D36" s="11"/>
      <c r="E36" s="12"/>
      <c r="F36" s="12"/>
      <c r="G36" s="12"/>
      <c r="H36" s="12"/>
      <c r="I36" s="13" t="e">
        <f>SUM(I29:I35)</f>
        <v>#REF!</v>
      </c>
    </row>
    <row r="37" spans="1:11" hidden="1" outlineLevel="1" x14ac:dyDescent="0.25"/>
    <row r="38" spans="1:11" hidden="1" outlineLevel="1" x14ac:dyDescent="0.25">
      <c r="A38" t="s">
        <v>7</v>
      </c>
      <c r="I38" s="20" t="e">
        <f>+I36-$I$11</f>
        <v>#REF!</v>
      </c>
      <c r="K38" s="20"/>
    </row>
    <row r="39" spans="1:11" hidden="1" outlineLevel="1" x14ac:dyDescent="0.25">
      <c r="A39" t="s">
        <v>8</v>
      </c>
      <c r="I39" s="20" t="e">
        <f>+I36-I22</f>
        <v>#REF!</v>
      </c>
    </row>
    <row r="40" spans="1:11" hidden="1" outlineLevel="1" x14ac:dyDescent="0.25"/>
    <row r="41" spans="1:11" ht="15.75" hidden="1" outlineLevel="1" thickBot="1" x14ac:dyDescent="0.3"/>
    <row r="42" spans="1:11" ht="15.75" hidden="1" outlineLevel="1" thickBot="1" x14ac:dyDescent="0.3">
      <c r="A42" t="s">
        <v>0</v>
      </c>
      <c r="B42" s="257">
        <v>44012</v>
      </c>
      <c r="C42" s="258"/>
      <c r="D42" s="258"/>
      <c r="E42" s="258"/>
      <c r="F42" s="258"/>
      <c r="G42" s="258"/>
      <c r="H42" s="258"/>
      <c r="I42" s="259"/>
    </row>
    <row r="43" spans="1:11" ht="30" hidden="1" outlineLevel="1" x14ac:dyDescent="0.25">
      <c r="B43" s="2" t="str">
        <f>+[1]MTM!$E$42</f>
        <v>Date de transaction</v>
      </c>
      <c r="C43" s="3" t="str">
        <f>+[1]MTM!$F$42</f>
        <v>Date de début</v>
      </c>
      <c r="D43" s="3" t="str">
        <f>+[1]MTM!$G$42</f>
        <v>Échéance</v>
      </c>
      <c r="E43" s="3" t="str">
        <f>+[1]MTM!$I$42</f>
        <v>Nominal initial du contrat</v>
      </c>
      <c r="F43" s="3" t="str">
        <f>+[1]MTM!$J$42</f>
        <v>Nominal restant</v>
      </c>
      <c r="G43" s="21" t="str">
        <f>+$G$3</f>
        <v>Taux Swap</v>
      </c>
      <c r="H43" s="21"/>
      <c r="I43" s="4" t="str">
        <f>+[1]MTM!$O$42</f>
        <v>Valeur indicative*</v>
      </c>
    </row>
    <row r="44" spans="1:11" hidden="1" outlineLevel="1" x14ac:dyDescent="0.25">
      <c r="A44" t="s">
        <v>1</v>
      </c>
      <c r="B44" s="5">
        <v>42821</v>
      </c>
      <c r="C44" s="6">
        <v>42821</v>
      </c>
      <c r="D44" s="6">
        <v>44281</v>
      </c>
      <c r="E44" s="7">
        <f>+E29</f>
        <v>766756</v>
      </c>
      <c r="F44" s="7">
        <f>+'[9]Des Pommetriers '!$D$52</f>
        <v>484326.08342378197</v>
      </c>
      <c r="G44" s="8">
        <v>1.49E-2</v>
      </c>
      <c r="H44" s="8"/>
      <c r="I44" s="9"/>
    </row>
    <row r="45" spans="1:11" hidden="1" outlineLevel="1" x14ac:dyDescent="0.25">
      <c r="A45" t="s">
        <v>2</v>
      </c>
      <c r="B45" s="5">
        <v>41061</v>
      </c>
      <c r="C45" s="6">
        <v>43430</v>
      </c>
      <c r="D45" s="6">
        <v>44526</v>
      </c>
      <c r="E45" s="7">
        <f t="shared" ref="E45:E50" si="1">+E30</f>
        <v>16834462</v>
      </c>
      <c r="F45" s="7">
        <v>16076844</v>
      </c>
      <c r="G45" s="8" t="e" cm="1">
        <f t="array" ref="G45">+[6]!TableIRD[Taux/ Rate]/100</f>
        <v>#REF!</v>
      </c>
      <c r="H45" s="8"/>
      <c r="I45" s="9" t="e" cm="1">
        <f t="array" ref="I45">+[10]!TableIRD[Valeur Indicative*/ Indicative Value *]</f>
        <v>#REF!</v>
      </c>
    </row>
    <row r="46" spans="1:11" hidden="1" outlineLevel="1" x14ac:dyDescent="0.25">
      <c r="A46" t="s">
        <v>3</v>
      </c>
      <c r="B46" s="5">
        <v>41514</v>
      </c>
      <c r="C46" s="6">
        <v>43434</v>
      </c>
      <c r="D46" s="6">
        <v>45442</v>
      </c>
      <c r="E46" s="7">
        <f t="shared" si="1"/>
        <v>7172462.8499999996</v>
      </c>
      <c r="F46" s="7">
        <f>+[11]MTM!$J$44</f>
        <v>6447111.8200000003</v>
      </c>
      <c r="G46" s="8">
        <f>+[7]MTM!$K$44/100</f>
        <v>3.4000000000000002E-2</v>
      </c>
      <c r="H46" s="8"/>
      <c r="I46" s="9">
        <f>+[11]MTM!$O$44</f>
        <v>583399.57435899996</v>
      </c>
    </row>
    <row r="47" spans="1:11" hidden="1" outlineLevel="1" x14ac:dyDescent="0.25">
      <c r="A47" t="s">
        <v>3</v>
      </c>
      <c r="B47" s="5">
        <v>41663</v>
      </c>
      <c r="C47" s="6">
        <v>43434</v>
      </c>
      <c r="D47" s="6">
        <v>45442</v>
      </c>
      <c r="E47" s="7">
        <f t="shared" si="1"/>
        <v>4402703.46</v>
      </c>
      <c r="F47" s="7">
        <f>+[11]MTM!$J$45</f>
        <v>3947443.21</v>
      </c>
      <c r="G47" s="8">
        <f>+[7]MTM!$K$45/100</f>
        <v>0.03</v>
      </c>
      <c r="H47" s="8"/>
      <c r="I47" s="9">
        <f>+[11]MTM!$O$45</f>
        <v>304134.14674599998</v>
      </c>
    </row>
    <row r="48" spans="1:11" hidden="1" outlineLevel="1" x14ac:dyDescent="0.25">
      <c r="A48" t="s">
        <v>3</v>
      </c>
      <c r="B48" s="5">
        <v>41716</v>
      </c>
      <c r="C48" s="6">
        <v>41789</v>
      </c>
      <c r="D48" s="6">
        <v>45442</v>
      </c>
      <c r="E48" s="7">
        <f t="shared" si="1"/>
        <v>7912500</v>
      </c>
      <c r="F48" s="7">
        <f>+[11]MTM!$J$46</f>
        <v>5664293.5599999996</v>
      </c>
      <c r="G48" s="8">
        <f>+[7]MTM!$K$46/100</f>
        <v>2.8999999999999998E-2</v>
      </c>
      <c r="H48" s="8"/>
      <c r="I48" s="9">
        <f>+[11]MTM!$O$46</f>
        <v>417479.71102599998</v>
      </c>
    </row>
    <row r="49" spans="1:15" hidden="1" outlineLevel="1" x14ac:dyDescent="0.25">
      <c r="A49" t="s">
        <v>4</v>
      </c>
      <c r="B49" s="5">
        <v>43249</v>
      </c>
      <c r="C49" s="6">
        <v>43430</v>
      </c>
      <c r="D49" s="6">
        <v>45072</v>
      </c>
      <c r="E49" s="7">
        <f t="shared" si="1"/>
        <v>13194518.01</v>
      </c>
      <c r="F49" s="7">
        <f>+[12]MTM!$J$44</f>
        <v>12690936.970000001</v>
      </c>
      <c r="G49" s="8">
        <f>+[8]MTM!$K$44/100</f>
        <v>2.69E-2</v>
      </c>
      <c r="H49" s="8"/>
      <c r="I49" s="9">
        <f>+[12]MTM!$O$44</f>
        <v>741853.46372500004</v>
      </c>
    </row>
    <row r="50" spans="1:15" hidden="1" outlineLevel="1" x14ac:dyDescent="0.25">
      <c r="A50" t="s">
        <v>5</v>
      </c>
      <c r="B50" s="5">
        <v>43249</v>
      </c>
      <c r="C50" s="6">
        <v>43430</v>
      </c>
      <c r="D50" s="6">
        <v>50551</v>
      </c>
      <c r="E50" s="7">
        <f t="shared" si="1"/>
        <v>21557728.260000002</v>
      </c>
      <c r="F50" s="7">
        <f>+[12]MTM!$J$45</f>
        <v>20802554.25</v>
      </c>
      <c r="G50" s="8">
        <f>+[8]MTM!$K$45/100</f>
        <v>2.9399999999999999E-2</v>
      </c>
      <c r="H50" s="8"/>
      <c r="I50" s="9">
        <f>+[12]MTM!$O$45</f>
        <v>4379258.2147519998</v>
      </c>
    </row>
    <row r="51" spans="1:15" ht="15.75" hidden="1" outlineLevel="1" thickBot="1" x14ac:dyDescent="0.3">
      <c r="B51" s="10"/>
      <c r="C51" s="11"/>
      <c r="D51" s="11"/>
      <c r="E51" s="12"/>
      <c r="F51" s="12"/>
      <c r="G51" s="12"/>
      <c r="H51" s="12"/>
      <c r="I51" s="13" t="e">
        <f>SUM(I44:I50)</f>
        <v>#REF!</v>
      </c>
    </row>
    <row r="52" spans="1:15" hidden="1" outlineLevel="1" x14ac:dyDescent="0.25"/>
    <row r="53" spans="1:15" hidden="1" outlineLevel="1" x14ac:dyDescent="0.25">
      <c r="A53" t="s">
        <v>7</v>
      </c>
      <c r="I53" s="20" t="e">
        <f>+I51-$I$11</f>
        <v>#REF!</v>
      </c>
    </row>
    <row r="54" spans="1:15" hidden="1" outlineLevel="1" x14ac:dyDescent="0.25">
      <c r="A54" t="s">
        <v>8</v>
      </c>
      <c r="I54" s="20" t="e">
        <f>+I51-I36</f>
        <v>#REF!</v>
      </c>
    </row>
    <row r="55" spans="1:15" hidden="1" outlineLevel="1" x14ac:dyDescent="0.25"/>
    <row r="56" spans="1:15" ht="15.75" collapsed="1" thickBot="1" x14ac:dyDescent="0.3"/>
    <row r="57" spans="1:15" ht="15.75" thickBot="1" x14ac:dyDescent="0.3">
      <c r="A57" t="s">
        <v>0</v>
      </c>
      <c r="B57" s="257">
        <v>45082</v>
      </c>
      <c r="C57" s="258"/>
      <c r="D57" s="258"/>
      <c r="E57" s="258"/>
      <c r="F57" s="258"/>
      <c r="G57" s="258"/>
      <c r="H57" s="258"/>
      <c r="I57" s="259"/>
    </row>
    <row r="58" spans="1:15" ht="30" x14ac:dyDescent="0.25">
      <c r="A58" s="24" t="s">
        <v>18</v>
      </c>
      <c r="B58" s="26" t="str">
        <f>+[1]MTM!$E$42</f>
        <v>Date de transaction</v>
      </c>
      <c r="C58" s="21" t="str">
        <f>+[1]MTM!$F$42</f>
        <v>Date de début</v>
      </c>
      <c r="D58" s="21" t="str">
        <f>+[1]MTM!$G$42</f>
        <v>Échéance</v>
      </c>
      <c r="E58" s="3" t="str">
        <f>+[1]MTM!$I$42</f>
        <v>Nominal initial du contrat</v>
      </c>
      <c r="F58" s="3" t="str">
        <f>+[1]MTM!$J$42</f>
        <v>Nominal restant</v>
      </c>
      <c r="G58" s="21" t="str">
        <f>+$G$3</f>
        <v>Taux Swap</v>
      </c>
      <c r="H58" s="21" t="s">
        <v>72</v>
      </c>
      <c r="I58" s="28" t="str">
        <f>+[1]MTM!$O$42</f>
        <v>Valeur indicative*</v>
      </c>
      <c r="K58" s="21" t="s">
        <v>55</v>
      </c>
      <c r="L58" s="21" t="s">
        <v>15</v>
      </c>
      <c r="M58" s="21" t="s">
        <v>16</v>
      </c>
      <c r="O58" t="s">
        <v>32</v>
      </c>
    </row>
    <row r="59" spans="1:15" x14ac:dyDescent="0.25">
      <c r="A59" s="27"/>
      <c r="B59" s="5"/>
      <c r="C59" s="6"/>
      <c r="D59" s="6"/>
      <c r="E59" s="7"/>
      <c r="F59" s="7"/>
      <c r="G59" s="32"/>
      <c r="H59" s="32"/>
      <c r="I59" s="9" t="s">
        <v>74</v>
      </c>
      <c r="K59" s="23"/>
      <c r="L59" s="25"/>
      <c r="M59" s="33"/>
      <c r="O59" s="23"/>
    </row>
    <row r="60" spans="1:15" x14ac:dyDescent="0.25">
      <c r="A60" s="27"/>
      <c r="B60" s="5"/>
      <c r="C60" s="6"/>
      <c r="D60" s="6"/>
      <c r="E60" s="71"/>
      <c r="F60" s="71"/>
      <c r="G60" s="72"/>
      <c r="H60" s="72"/>
      <c r="I60" s="73" t="s">
        <v>75</v>
      </c>
      <c r="K60" s="23"/>
      <c r="L60" s="74"/>
      <c r="M60" s="33"/>
      <c r="O60" s="23"/>
    </row>
    <row r="61" spans="1:15" x14ac:dyDescent="0.25">
      <c r="A61" s="27" t="s">
        <v>3</v>
      </c>
      <c r="B61" s="5">
        <v>41514</v>
      </c>
      <c r="C61" s="6">
        <v>43434</v>
      </c>
      <c r="D61" s="49">
        <v>45442</v>
      </c>
      <c r="E61" s="7">
        <v>8900000</v>
      </c>
      <c r="F61" s="7">
        <v>5294740.74</v>
      </c>
      <c r="G61" s="32">
        <f>+[7]MTM!$K$44/100</f>
        <v>3.4000000000000002E-2</v>
      </c>
      <c r="H61" s="32">
        <v>2.4500000000000001E-2</v>
      </c>
      <c r="I61" s="9">
        <v>-77437.539999999994</v>
      </c>
      <c r="K61" s="23" t="s">
        <v>14</v>
      </c>
      <c r="L61" s="25" t="s">
        <v>37</v>
      </c>
      <c r="M61" s="48">
        <v>45443</v>
      </c>
      <c r="N61" t="s">
        <v>21</v>
      </c>
      <c r="O61" s="23" t="s">
        <v>29</v>
      </c>
    </row>
    <row r="62" spans="1:15" x14ac:dyDescent="0.25">
      <c r="A62" s="27" t="s">
        <v>3</v>
      </c>
      <c r="B62" s="5">
        <v>41663</v>
      </c>
      <c r="C62" s="6">
        <v>43434</v>
      </c>
      <c r="D62" s="49">
        <v>45442</v>
      </c>
      <c r="E62" s="7">
        <v>5500000</v>
      </c>
      <c r="F62" s="7">
        <v>3229653.23</v>
      </c>
      <c r="G62" s="32">
        <f>+[7]MTM!$K$45/100</f>
        <v>0.03</v>
      </c>
      <c r="H62" s="32">
        <f>+H61</f>
        <v>2.4500000000000001E-2</v>
      </c>
      <c r="I62" s="9">
        <v>-58249.07</v>
      </c>
      <c r="K62" s="23" t="s">
        <v>14</v>
      </c>
      <c r="L62" s="25" t="str">
        <f>+L61</f>
        <v>20 mois</v>
      </c>
      <c r="M62" s="48">
        <f>+M61</f>
        <v>45443</v>
      </c>
      <c r="N62" t="s">
        <v>21</v>
      </c>
      <c r="O62" s="23" t="s">
        <v>29</v>
      </c>
    </row>
    <row r="63" spans="1:15" x14ac:dyDescent="0.25">
      <c r="A63" s="27" t="s">
        <v>3</v>
      </c>
      <c r="B63" s="5">
        <v>41716</v>
      </c>
      <c r="C63" s="6">
        <v>41789</v>
      </c>
      <c r="D63" s="49">
        <v>45442</v>
      </c>
      <c r="E63" s="7">
        <v>7912500</v>
      </c>
      <c r="F63" s="7">
        <v>4629570.2300000004</v>
      </c>
      <c r="G63" s="32">
        <f>+[7]MTM!$K$46/100</f>
        <v>2.8999999999999998E-2</v>
      </c>
      <c r="H63" s="32">
        <f>+H61</f>
        <v>2.4500000000000001E-2</v>
      </c>
      <c r="I63" s="9">
        <v>-87219</v>
      </c>
      <c r="K63" s="23" t="s">
        <v>14</v>
      </c>
      <c r="L63" s="25" t="str">
        <f>+L61</f>
        <v>20 mois</v>
      </c>
      <c r="M63" s="48">
        <f>+M62</f>
        <v>45443</v>
      </c>
      <c r="N63" t="s">
        <v>21</v>
      </c>
      <c r="O63" s="23" t="s">
        <v>29</v>
      </c>
    </row>
    <row r="64" spans="1:15" x14ac:dyDescent="0.25">
      <c r="A64" s="27" t="s">
        <v>4</v>
      </c>
      <c r="B64" s="5">
        <v>43249</v>
      </c>
      <c r="C64" s="6">
        <v>45072</v>
      </c>
      <c r="D64" s="50">
        <v>45377</v>
      </c>
      <c r="E64" s="7">
        <f t="shared" ref="E64:E65" si="2">+E49</f>
        <v>13194518.01</v>
      </c>
      <c r="F64" s="7">
        <v>11914297.369999999</v>
      </c>
      <c r="G64" s="32">
        <v>4.7800000000000002E-2</v>
      </c>
      <c r="H64" s="32">
        <v>1.9E-2</v>
      </c>
      <c r="I64" s="9">
        <v>-32100.95</v>
      </c>
      <c r="K64" s="23" t="s">
        <v>36</v>
      </c>
      <c r="L64" s="25" t="s">
        <v>53</v>
      </c>
      <c r="M64" s="51">
        <v>45281</v>
      </c>
      <c r="N64" t="s">
        <v>24</v>
      </c>
      <c r="O64" s="23" t="s">
        <v>31</v>
      </c>
    </row>
    <row r="65" spans="1:15" x14ac:dyDescent="0.25">
      <c r="A65" s="27" t="s">
        <v>5</v>
      </c>
      <c r="B65" s="5">
        <v>43249</v>
      </c>
      <c r="C65" s="6">
        <v>43430</v>
      </c>
      <c r="D65" s="50">
        <v>50551</v>
      </c>
      <c r="E65" s="7">
        <f t="shared" si="2"/>
        <v>21557728.260000002</v>
      </c>
      <c r="F65" s="7">
        <v>19624823.02</v>
      </c>
      <c r="G65" s="32">
        <f>+[8]MTM!$K$45/100</f>
        <v>2.9399999999999999E-2</v>
      </c>
      <c r="H65" s="32">
        <v>2.2499999999999999E-2</v>
      </c>
      <c r="I65" s="9">
        <v>-1298562</v>
      </c>
      <c r="K65" s="23" t="s">
        <v>36</v>
      </c>
      <c r="L65" s="25" t="s">
        <v>54</v>
      </c>
      <c r="M65" s="51">
        <v>45281</v>
      </c>
      <c r="N65" t="s">
        <v>24</v>
      </c>
      <c r="O65" s="23" t="s">
        <v>31</v>
      </c>
    </row>
    <row r="66" spans="1:15" x14ac:dyDescent="0.25">
      <c r="A66" s="27" t="s">
        <v>51</v>
      </c>
      <c r="B66" s="58" t="s">
        <v>52</v>
      </c>
      <c r="C66" s="6">
        <v>44620</v>
      </c>
      <c r="D66" s="50">
        <v>48270</v>
      </c>
      <c r="E66" s="7">
        <v>24700000</v>
      </c>
      <c r="F66" s="7">
        <v>24383281.190000001</v>
      </c>
      <c r="G66" s="59">
        <v>2.5325E-2</v>
      </c>
      <c r="H66" s="59">
        <v>2.2499999999999999E-2</v>
      </c>
      <c r="I66" s="9">
        <v>-1843554.84</v>
      </c>
      <c r="K66" s="23"/>
      <c r="L66" s="25" t="s">
        <v>58</v>
      </c>
      <c r="M66" s="51">
        <f>+M65</f>
        <v>45281</v>
      </c>
      <c r="N66" t="s">
        <v>24</v>
      </c>
      <c r="O66" s="23" t="s">
        <v>31</v>
      </c>
    </row>
    <row r="67" spans="1:15" x14ac:dyDescent="0.25">
      <c r="A67" s="27" t="s">
        <v>51</v>
      </c>
      <c r="B67" s="58" t="str">
        <f>+B66</f>
        <v>2022--02-16</v>
      </c>
      <c r="C67" s="6">
        <f>+C66</f>
        <v>44620</v>
      </c>
      <c r="D67" s="50">
        <v>46444</v>
      </c>
      <c r="E67" s="7">
        <v>10000000</v>
      </c>
      <c r="F67" s="7">
        <v>9890994</v>
      </c>
      <c r="G67" s="32">
        <v>2.3599999999999999E-2</v>
      </c>
      <c r="H67" s="32">
        <v>2.2499999999999999E-2</v>
      </c>
      <c r="I67" s="9">
        <f>-5168969.68+4238525</f>
        <v>-930444.6799999997</v>
      </c>
      <c r="K67" s="23"/>
      <c r="L67" s="25" t="s">
        <v>59</v>
      </c>
      <c r="M67" s="51">
        <f>+M66</f>
        <v>45281</v>
      </c>
      <c r="N67" t="s">
        <v>24</v>
      </c>
      <c r="O67" s="23" t="s">
        <v>31</v>
      </c>
    </row>
    <row r="68" spans="1:15" x14ac:dyDescent="0.25">
      <c r="A68" s="27" t="s">
        <v>51</v>
      </c>
      <c r="B68" s="58" t="str">
        <f>+B66</f>
        <v>2022--02-16</v>
      </c>
      <c r="C68" s="6">
        <f>+C66</f>
        <v>44620</v>
      </c>
      <c r="D68" s="50">
        <v>50097</v>
      </c>
      <c r="E68" s="7">
        <v>10000000</v>
      </c>
      <c r="F68" s="7">
        <v>9894763</v>
      </c>
      <c r="G68" s="32">
        <v>2.6030000000000001E-2</v>
      </c>
      <c r="H68" s="32">
        <v>2.2499999999999999E-2</v>
      </c>
      <c r="I68" s="9">
        <f>-2036215+1486285</f>
        <v>-549930</v>
      </c>
      <c r="K68" s="23"/>
      <c r="L68" s="25" t="s">
        <v>60</v>
      </c>
      <c r="M68" s="51">
        <f>+M67</f>
        <v>45281</v>
      </c>
      <c r="N68" t="s">
        <v>24</v>
      </c>
      <c r="O68" s="23" t="s">
        <v>40</v>
      </c>
    </row>
    <row r="69" spans="1:15" x14ac:dyDescent="0.25">
      <c r="A69" s="76" t="s">
        <v>2</v>
      </c>
      <c r="B69" s="77">
        <v>44895</v>
      </c>
      <c r="C69" s="78">
        <v>44894</v>
      </c>
      <c r="D69" s="78">
        <v>48544</v>
      </c>
      <c r="E69" s="79">
        <v>5000000</v>
      </c>
      <c r="F69" s="79">
        <f>+E69</f>
        <v>5000000</v>
      </c>
      <c r="G69" s="88">
        <v>3.6819999999999999E-2</v>
      </c>
      <c r="H69" s="88">
        <v>1.7999999999999999E-2</v>
      </c>
      <c r="I69" s="81">
        <v>-788.8</v>
      </c>
      <c r="J69" s="82"/>
      <c r="K69" s="83" t="s">
        <v>63</v>
      </c>
      <c r="L69" s="84" t="s">
        <v>67</v>
      </c>
      <c r="M69" s="85">
        <v>48547</v>
      </c>
      <c r="N69" s="82" t="s">
        <v>21</v>
      </c>
      <c r="O69" s="83" t="s">
        <v>28</v>
      </c>
    </row>
    <row r="70" spans="1:15" x14ac:dyDescent="0.25">
      <c r="A70" s="76" t="s">
        <v>2</v>
      </c>
      <c r="B70" s="77">
        <v>44895</v>
      </c>
      <c r="C70" s="78">
        <v>44894</v>
      </c>
      <c r="D70" s="78">
        <v>48544</v>
      </c>
      <c r="E70" s="79">
        <v>9644992</v>
      </c>
      <c r="F70" s="79">
        <f>+E70</f>
        <v>9644992</v>
      </c>
      <c r="G70" s="88">
        <v>3.5310000000000001E-2</v>
      </c>
      <c r="H70" s="88">
        <v>1.7999999999999999E-2</v>
      </c>
      <c r="I70" s="81">
        <v>-96693.16</v>
      </c>
      <c r="J70" s="82"/>
      <c r="K70" s="83" t="s">
        <v>63</v>
      </c>
      <c r="L70" s="84" t="s">
        <v>67</v>
      </c>
      <c r="M70" s="85">
        <v>48547</v>
      </c>
      <c r="N70" s="82" t="s">
        <v>21</v>
      </c>
      <c r="O70" s="83" t="s">
        <v>28</v>
      </c>
    </row>
    <row r="71" spans="1:15" ht="15.75" thickBot="1" x14ac:dyDescent="0.3">
      <c r="A71" s="27" t="s">
        <v>71</v>
      </c>
      <c r="B71" s="5">
        <v>45001</v>
      </c>
      <c r="C71" s="6">
        <f>+B71</f>
        <v>45001</v>
      </c>
      <c r="D71" s="6">
        <v>47543</v>
      </c>
      <c r="E71" s="71">
        <v>8856000</v>
      </c>
      <c r="F71" s="71">
        <f>+E71</f>
        <v>8856000</v>
      </c>
      <c r="G71" s="90">
        <v>3.2899999999999999E-2</v>
      </c>
      <c r="H71" s="90">
        <v>2.2499999999999999E-2</v>
      </c>
      <c r="I71" s="73">
        <v>-203078.64</v>
      </c>
      <c r="K71" s="23"/>
      <c r="L71" s="74"/>
      <c r="M71" s="33"/>
      <c r="O71" s="23"/>
    </row>
    <row r="72" spans="1:15" ht="15.75" thickBot="1" x14ac:dyDescent="0.3">
      <c r="B72" s="36"/>
      <c r="C72" s="37"/>
      <c r="D72" s="37"/>
      <c r="E72" s="38">
        <f>SUM(E59:E71)</f>
        <v>125265738.27</v>
      </c>
      <c r="F72" s="38">
        <f>SUM(F59:F71)</f>
        <v>112363114.78</v>
      </c>
      <c r="G72" s="37"/>
      <c r="H72" s="37"/>
      <c r="I72" s="39"/>
      <c r="M72" s="23"/>
      <c r="O72" s="23"/>
    </row>
    <row r="73" spans="1:15" ht="15.75" thickBot="1" x14ac:dyDescent="0.3">
      <c r="B73" s="2"/>
      <c r="E73" s="20"/>
      <c r="F73" s="56">
        <f>+F72/F82</f>
        <v>0.79774491061059483</v>
      </c>
      <c r="I73" s="40"/>
      <c r="M73" s="23"/>
      <c r="O73" s="23"/>
    </row>
    <row r="74" spans="1:15" ht="33.75" customHeight="1" x14ac:dyDescent="0.25">
      <c r="A74" s="24" t="s">
        <v>19</v>
      </c>
      <c r="B74" s="2"/>
      <c r="E74" s="23" t="s">
        <v>39</v>
      </c>
      <c r="F74" s="23" t="s">
        <v>25</v>
      </c>
      <c r="G74" s="260" t="s">
        <v>64</v>
      </c>
      <c r="H74" s="260"/>
      <c r="I74" s="261"/>
      <c r="M74" s="23"/>
      <c r="O74" s="23"/>
    </row>
    <row r="75" spans="1:15" x14ac:dyDescent="0.25">
      <c r="A75" s="27" t="s">
        <v>17</v>
      </c>
      <c r="B75" s="2"/>
      <c r="C75" s="262">
        <v>35000000</v>
      </c>
      <c r="D75" s="6"/>
      <c r="E75" s="42"/>
      <c r="F75" s="42">
        <f>7700000+2300000</f>
        <v>10000000</v>
      </c>
      <c r="G75" s="263" t="s">
        <v>65</v>
      </c>
      <c r="H75" s="263"/>
      <c r="I75" s="264"/>
      <c r="L75" s="23" t="s">
        <v>26</v>
      </c>
      <c r="M75" s="33">
        <v>45281</v>
      </c>
      <c r="N75" t="s">
        <v>24</v>
      </c>
      <c r="O75" s="23" t="s">
        <v>61</v>
      </c>
    </row>
    <row r="76" spans="1:15" x14ac:dyDescent="0.25">
      <c r="A76" s="27" t="s">
        <v>17</v>
      </c>
      <c r="B76" s="2"/>
      <c r="C76" s="262"/>
      <c r="D76" s="6"/>
      <c r="E76" s="42"/>
      <c r="F76" s="42">
        <f>20835000-2300000-3000000</f>
        <v>15535000</v>
      </c>
      <c r="G76" s="263" t="s">
        <v>65</v>
      </c>
      <c r="H76" s="263"/>
      <c r="I76" s="264"/>
      <c r="L76" s="23" t="s">
        <v>26</v>
      </c>
      <c r="M76" s="33">
        <v>45281</v>
      </c>
      <c r="N76" t="s">
        <v>24</v>
      </c>
      <c r="O76" s="23" t="s">
        <v>61</v>
      </c>
    </row>
    <row r="77" spans="1:15" x14ac:dyDescent="0.25">
      <c r="A77" s="27" t="s">
        <v>20</v>
      </c>
      <c r="B77" s="5">
        <v>43374</v>
      </c>
      <c r="C77" s="42"/>
      <c r="D77" s="6"/>
      <c r="E77" s="42"/>
      <c r="F77" s="42"/>
      <c r="G77" s="70">
        <v>2.2499999999999999E-2</v>
      </c>
      <c r="H77" s="70"/>
      <c r="I77" s="89" t="s">
        <v>70</v>
      </c>
      <c r="L77" s="23" t="s">
        <v>26</v>
      </c>
      <c r="M77" s="33">
        <v>45281</v>
      </c>
      <c r="N77" t="s">
        <v>24</v>
      </c>
      <c r="O77" s="23" t="s">
        <v>31</v>
      </c>
    </row>
    <row r="78" spans="1:15" x14ac:dyDescent="0.25">
      <c r="A78" s="27" t="s">
        <v>2</v>
      </c>
      <c r="B78" s="5"/>
      <c r="C78" s="6"/>
      <c r="D78" s="6"/>
      <c r="E78" s="71"/>
      <c r="F78" s="71"/>
      <c r="G78" s="91"/>
      <c r="H78" s="91"/>
      <c r="I78" s="73"/>
      <c r="K78" s="23"/>
      <c r="L78" s="74"/>
      <c r="M78" s="33"/>
      <c r="O78" s="23"/>
    </row>
    <row r="79" spans="1:15" x14ac:dyDescent="0.25">
      <c r="A79" s="27" t="s">
        <v>78</v>
      </c>
      <c r="B79" s="2"/>
      <c r="C79" s="92"/>
      <c r="D79" s="6"/>
      <c r="E79" s="42">
        <v>6857172</v>
      </c>
      <c r="F79" s="42">
        <v>2952818</v>
      </c>
      <c r="G79" s="23" t="s">
        <v>79</v>
      </c>
      <c r="H79" s="99">
        <v>2.4500000000000001E-2</v>
      </c>
      <c r="I79" s="40"/>
      <c r="L79" s="23"/>
      <c r="M79" s="33"/>
      <c r="O79" s="23"/>
    </row>
    <row r="80" spans="1:15" ht="15.75" thickBot="1" x14ac:dyDescent="0.3">
      <c r="B80" s="43"/>
      <c r="C80" s="34"/>
      <c r="D80" s="34"/>
      <c r="E80" s="35">
        <f>SUM(E75:E79)</f>
        <v>6857172</v>
      </c>
      <c r="F80" s="35">
        <f>SUM(F75:F79)</f>
        <v>28487818</v>
      </c>
      <c r="G80" s="34"/>
      <c r="H80" s="34"/>
      <c r="I80" s="44"/>
      <c r="M80" s="23"/>
    </row>
    <row r="81" spans="1:13" ht="15.75" thickBot="1" x14ac:dyDescent="0.3">
      <c r="B81" s="2"/>
      <c r="F81" s="56">
        <f>+F80/F82</f>
        <v>0.20225508938940517</v>
      </c>
      <c r="I81" s="40"/>
      <c r="M81" s="23"/>
    </row>
    <row r="82" spans="1:13" ht="15.75" thickBot="1" x14ac:dyDescent="0.3">
      <c r="A82" s="29" t="s">
        <v>23</v>
      </c>
      <c r="B82" s="45"/>
      <c r="C82" s="30"/>
      <c r="D82" s="30"/>
      <c r="E82" s="31">
        <f>+E72+E80</f>
        <v>132122910.27</v>
      </c>
      <c r="F82" s="57">
        <f>+F72+F80</f>
        <v>140850932.78</v>
      </c>
      <c r="G82" s="30"/>
      <c r="H82" s="30"/>
      <c r="I82" s="46"/>
    </row>
    <row r="83" spans="1:13" ht="15.75" thickTop="1" x14ac:dyDescent="0.25">
      <c r="B83" s="2"/>
      <c r="I83" s="40"/>
    </row>
    <row r="84" spans="1:13" ht="15.75" thickBot="1" x14ac:dyDescent="0.3">
      <c r="B84" s="10"/>
      <c r="C84" s="11"/>
      <c r="D84" s="11"/>
      <c r="E84" s="11"/>
      <c r="F84" s="11"/>
      <c r="G84" s="11"/>
      <c r="H84" s="11"/>
      <c r="I84" s="47"/>
    </row>
    <row r="86" spans="1:13" x14ac:dyDescent="0.25">
      <c r="A86" s="53" t="s">
        <v>42</v>
      </c>
      <c r="B86" s="54"/>
      <c r="E86" s="20">
        <f>+E61+E62+E63</f>
        <v>22312500</v>
      </c>
      <c r="F86" s="75">
        <f>+E86/E87</f>
        <v>0.76492118252135299</v>
      </c>
    </row>
    <row r="87" spans="1:13" x14ac:dyDescent="0.25">
      <c r="A87" s="52" t="s">
        <v>43</v>
      </c>
      <c r="B87" s="55"/>
      <c r="E87" s="100">
        <f>+E86+E79</f>
        <v>29169672</v>
      </c>
    </row>
    <row r="88" spans="1:13" x14ac:dyDescent="0.25">
      <c r="B88" s="22"/>
    </row>
    <row r="89" spans="1:13" x14ac:dyDescent="0.25">
      <c r="A89" t="s">
        <v>56</v>
      </c>
      <c r="B89" s="75">
        <f>+F73</f>
        <v>0.79774491061059483</v>
      </c>
      <c r="C89" t="s">
        <v>66</v>
      </c>
    </row>
    <row r="90" spans="1:13" x14ac:dyDescent="0.25">
      <c r="B90" s="22"/>
    </row>
    <row r="91" spans="1:13" x14ac:dyDescent="0.25">
      <c r="A91" t="s">
        <v>62</v>
      </c>
    </row>
    <row r="92" spans="1:13" x14ac:dyDescent="0.25">
      <c r="B92" s="22"/>
    </row>
  </sheetData>
  <mergeCells count="9">
    <mergeCell ref="C75:C76"/>
    <mergeCell ref="G75:I75"/>
    <mergeCell ref="G76:I76"/>
    <mergeCell ref="B2:I2"/>
    <mergeCell ref="B13:I13"/>
    <mergeCell ref="B27:I27"/>
    <mergeCell ref="B42:I42"/>
    <mergeCell ref="B57:I57"/>
    <mergeCell ref="G74:I74"/>
  </mergeCells>
  <pageMargins left="0.70866141732283472" right="0.70866141732283472" top="0.74803149606299213" bottom="0.74803149606299213" header="0.31496062992125984" footer="0.31496062992125984"/>
  <pageSetup scale="51" orientation="landscape" r:id="rId1"/>
  <headerFooter>
    <oddFooter>&amp;L&amp;Z
&amp;F&amp;C&amp;A&amp;R&amp;D
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FFB5D-DB96-497A-8BB9-886AD816A00A}">
  <sheetPr>
    <pageSetUpPr fitToPage="1"/>
  </sheetPr>
  <dimension ref="A1:V92"/>
  <sheetViews>
    <sheetView zoomScale="90" zoomScaleNormal="90" workbookViewId="0">
      <selection activeCell="B90" sqref="B90"/>
    </sheetView>
  </sheetViews>
  <sheetFormatPr baseColWidth="10" defaultColWidth="11.5703125" defaultRowHeight="15" outlineLevelRow="1" x14ac:dyDescent="0.25"/>
  <cols>
    <col min="1" max="1" width="28.28515625" customWidth="1"/>
    <col min="2" max="2" width="12.42578125" customWidth="1"/>
    <col min="3" max="3" width="13.7109375" bestFit="1" customWidth="1"/>
    <col min="5" max="6" width="15.28515625" bestFit="1" customWidth="1"/>
    <col min="7" max="8" width="14.5703125" customWidth="1"/>
    <col min="9" max="9" width="12.5703125" bestFit="1" customWidth="1"/>
    <col min="10" max="10" width="3.28515625" customWidth="1"/>
    <col min="11" max="11" width="15.28515625" bestFit="1" customWidth="1"/>
    <col min="12" max="12" width="18.140625" customWidth="1"/>
    <col min="14" max="14" width="36.85546875" customWidth="1"/>
  </cols>
  <sheetData>
    <row r="1" spans="1:12" x14ac:dyDescent="0.25">
      <c r="A1" t="s">
        <v>9</v>
      </c>
    </row>
    <row r="2" spans="1:12" ht="31.15" hidden="1" customHeight="1" outlineLevel="1" thickBot="1" x14ac:dyDescent="0.3">
      <c r="A2" t="s">
        <v>0</v>
      </c>
      <c r="B2" s="257">
        <v>43830</v>
      </c>
      <c r="C2" s="258"/>
      <c r="D2" s="258"/>
      <c r="E2" s="258"/>
      <c r="F2" s="258"/>
      <c r="G2" s="258"/>
      <c r="H2" s="258"/>
      <c r="I2" s="259"/>
      <c r="K2" s="14">
        <v>43465</v>
      </c>
      <c r="L2" s="19" t="s">
        <v>6</v>
      </c>
    </row>
    <row r="3" spans="1:12" ht="30" hidden="1" outlineLevel="1" x14ac:dyDescent="0.25">
      <c r="B3" s="2" t="str">
        <f>+[1]MTM!$E$42</f>
        <v>Date de transaction</v>
      </c>
      <c r="C3" s="3" t="str">
        <f>+[1]MTM!$F$42</f>
        <v>Date de début</v>
      </c>
      <c r="D3" s="3" t="str">
        <f>+[1]MTM!$G$42</f>
        <v>Échéance</v>
      </c>
      <c r="E3" s="3" t="str">
        <f>+[1]MTM!$I$42</f>
        <v>Nominal initial du contrat</v>
      </c>
      <c r="F3" s="3" t="str">
        <f>+[1]MTM!$J$42</f>
        <v>Nominal restant</v>
      </c>
      <c r="G3" s="21" t="s">
        <v>10</v>
      </c>
      <c r="H3" s="21"/>
      <c r="I3" s="4" t="str">
        <f>+[1]MTM!$O$42</f>
        <v>Valeur indicative*</v>
      </c>
      <c r="K3" s="15" t="str">
        <f>+[1]MTM!$O$42</f>
        <v>Valeur indicative*</v>
      </c>
    </row>
    <row r="4" spans="1:12" hidden="1" outlineLevel="1" x14ac:dyDescent="0.25">
      <c r="A4" t="s">
        <v>1</v>
      </c>
      <c r="B4" s="5">
        <v>42821</v>
      </c>
      <c r="C4" s="6">
        <v>42821</v>
      </c>
      <c r="D4" s="6">
        <v>44281</v>
      </c>
      <c r="E4" s="7">
        <v>766756</v>
      </c>
      <c r="F4" s="7">
        <v>530199</v>
      </c>
      <c r="G4" s="8" t="e">
        <f>+[1]!TableIRD[Taux/ Rate]/100</f>
        <v>#REF!</v>
      </c>
      <c r="H4" s="8"/>
      <c r="I4" s="9" t="e">
        <f>+[1]!TableIRD[Valeur Indicative*/ Indicative Value *]</f>
        <v>#REF!</v>
      </c>
      <c r="K4" s="16">
        <v>-8124.27</v>
      </c>
      <c r="L4">
        <v>4213</v>
      </c>
    </row>
    <row r="5" spans="1:12" hidden="1" outlineLevel="1" x14ac:dyDescent="0.25">
      <c r="A5" t="s">
        <v>2</v>
      </c>
      <c r="B5" s="5">
        <v>41061</v>
      </c>
      <c r="C5" s="6">
        <v>43430</v>
      </c>
      <c r="D5" s="6">
        <v>44526</v>
      </c>
      <c r="E5" s="7">
        <v>16834462</v>
      </c>
      <c r="F5" s="7">
        <v>16322594</v>
      </c>
      <c r="G5" s="8" t="e">
        <f>+[2]!TableIRD[Taux/ Rate]/100</f>
        <v>#REF!</v>
      </c>
      <c r="H5" s="8"/>
      <c r="I5" s="9" t="e">
        <f>+[2]!TableIRD[Valeur Indicative*/ Indicative Value *]</f>
        <v>#REF!</v>
      </c>
      <c r="K5" s="16">
        <v>25939.91</v>
      </c>
    </row>
    <row r="6" spans="1:12" hidden="1" outlineLevel="1" x14ac:dyDescent="0.25">
      <c r="A6" t="s">
        <v>3</v>
      </c>
      <c r="B6" s="5">
        <v>41514</v>
      </c>
      <c r="C6" s="6">
        <v>43434</v>
      </c>
      <c r="D6" s="6">
        <v>45442</v>
      </c>
      <c r="E6" s="7">
        <f>+[3]MTM!I44</f>
        <v>7172462.8499999996</v>
      </c>
      <c r="F6" s="7">
        <f>+[3]MTM!J44</f>
        <v>6682927.7000000002</v>
      </c>
      <c r="G6" s="8">
        <f>+[3]MTM!K44/100</f>
        <v>3.4000000000000002E-2</v>
      </c>
      <c r="H6" s="8"/>
      <c r="I6" s="9">
        <f>+[3]MTM!O44</f>
        <v>332057.47367899999</v>
      </c>
      <c r="K6" s="16">
        <v>348277.56</v>
      </c>
    </row>
    <row r="7" spans="1:12" hidden="1" outlineLevel="1" x14ac:dyDescent="0.25">
      <c r="A7" t="s">
        <v>3</v>
      </c>
      <c r="B7" s="5">
        <v>41663</v>
      </c>
      <c r="C7" s="6">
        <v>43434</v>
      </c>
      <c r="D7" s="6">
        <v>45442</v>
      </c>
      <c r="E7" s="7">
        <f>+[3]MTM!I45</f>
        <v>4402703.46</v>
      </c>
      <c r="F7" s="7">
        <f>+[3]MTM!J45</f>
        <v>4095167.49</v>
      </c>
      <c r="G7" s="8">
        <f>+[3]MTM!K45/100</f>
        <v>0.03</v>
      </c>
      <c r="H7" s="8"/>
      <c r="I7" s="9">
        <f>+[3]MTM!O45</f>
        <v>144551.142414</v>
      </c>
      <c r="K7" s="16">
        <v>139218.39000000001</v>
      </c>
    </row>
    <row r="8" spans="1:12" hidden="1" outlineLevel="1" x14ac:dyDescent="0.25">
      <c r="A8" t="s">
        <v>3</v>
      </c>
      <c r="B8" s="5">
        <v>41716</v>
      </c>
      <c r="C8" s="6">
        <v>41789</v>
      </c>
      <c r="D8" s="6">
        <v>45442</v>
      </c>
      <c r="E8" s="7">
        <f>+[3]MTM!I46</f>
        <v>7912500</v>
      </c>
      <c r="F8" s="7">
        <f>+[3]MTM!J46</f>
        <v>5878403.1799999997</v>
      </c>
      <c r="G8" s="8">
        <f>+[3]MTM!K46/100</f>
        <v>2.8999999999999998E-2</v>
      </c>
      <c r="H8" s="8"/>
      <c r="I8" s="9">
        <f>+[3]MTM!O46</f>
        <v>186249.01923800001</v>
      </c>
      <c r="K8" s="16">
        <v>173283.54</v>
      </c>
    </row>
    <row r="9" spans="1:12" hidden="1" outlineLevel="1" x14ac:dyDescent="0.25">
      <c r="A9" t="s">
        <v>4</v>
      </c>
      <c r="B9" s="5">
        <v>43249</v>
      </c>
      <c r="C9" s="6">
        <v>43430</v>
      </c>
      <c r="D9" s="6">
        <v>45072</v>
      </c>
      <c r="E9" s="7">
        <f>+[4]MTM!I44</f>
        <v>13194518.01</v>
      </c>
      <c r="F9" s="7">
        <f>+[4]MTM!J44</f>
        <v>12854500.210000001</v>
      </c>
      <c r="G9" s="8">
        <f>+[4]MTM!K44/100</f>
        <v>2.69E-2</v>
      </c>
      <c r="H9" s="8"/>
      <c r="I9" s="9">
        <f>+[4]MTM!O44</f>
        <v>283708.78010899998</v>
      </c>
      <c r="K9" s="16">
        <v>247739.76</v>
      </c>
    </row>
    <row r="10" spans="1:12" hidden="1" outlineLevel="1" x14ac:dyDescent="0.25">
      <c r="A10" t="s">
        <v>5</v>
      </c>
      <c r="B10" s="5">
        <v>43249</v>
      </c>
      <c r="C10" s="6">
        <v>43430</v>
      </c>
      <c r="D10" s="6">
        <v>50551</v>
      </c>
      <c r="E10" s="7">
        <f>+[4]MTM!I45</f>
        <v>21557728.260000002</v>
      </c>
      <c r="F10" s="7">
        <f>+[4]MTM!J45</f>
        <v>21048899.620000001</v>
      </c>
      <c r="G10" s="8">
        <f>+[4]MTM!K45/100</f>
        <v>2.9399999999999999E-2</v>
      </c>
      <c r="H10" s="8"/>
      <c r="I10" s="9">
        <f>+[4]MTM!O45</f>
        <v>1687701.4754550001</v>
      </c>
      <c r="K10" s="16">
        <v>943238.22</v>
      </c>
    </row>
    <row r="11" spans="1:12" ht="15.75" hidden="1" outlineLevel="1" thickBot="1" x14ac:dyDescent="0.3">
      <c r="B11" s="10"/>
      <c r="C11" s="11"/>
      <c r="D11" s="11"/>
      <c r="E11" s="12"/>
      <c r="F11" s="12"/>
      <c r="G11" s="12"/>
      <c r="H11" s="12"/>
      <c r="I11" s="13" t="e">
        <f>SUM(I4:I10)</f>
        <v>#REF!</v>
      </c>
      <c r="K11" s="17">
        <f>SUM(K4:K10)</f>
        <v>1869573.1099999999</v>
      </c>
    </row>
    <row r="12" spans="1:12" ht="15.75" hidden="1" outlineLevel="1" thickBot="1" x14ac:dyDescent="0.3">
      <c r="E12" s="1"/>
      <c r="F12" s="1"/>
      <c r="G12" s="1"/>
      <c r="H12" s="1"/>
      <c r="I12" s="1"/>
    </row>
    <row r="13" spans="1:12" ht="15.75" hidden="1" outlineLevel="1" thickBot="1" x14ac:dyDescent="0.3">
      <c r="A13" t="s">
        <v>0</v>
      </c>
      <c r="B13" s="257">
        <v>43906</v>
      </c>
      <c r="C13" s="258"/>
      <c r="D13" s="258"/>
      <c r="E13" s="258"/>
      <c r="F13" s="258"/>
      <c r="G13" s="258"/>
      <c r="H13" s="258"/>
      <c r="I13" s="259"/>
    </row>
    <row r="14" spans="1:12" ht="30" hidden="1" outlineLevel="1" x14ac:dyDescent="0.25">
      <c r="B14" s="2" t="str">
        <f>+[1]MTM!$E$42</f>
        <v>Date de transaction</v>
      </c>
      <c r="C14" s="3" t="str">
        <f>+[1]MTM!$F$42</f>
        <v>Date de début</v>
      </c>
      <c r="D14" s="3" t="str">
        <f>+[1]MTM!$G$42</f>
        <v>Échéance</v>
      </c>
      <c r="E14" s="3" t="str">
        <f>+[1]MTM!$I$42</f>
        <v>Nominal initial du contrat</v>
      </c>
      <c r="F14" s="3" t="str">
        <f>+[1]MTM!$J$42</f>
        <v>Nominal restant</v>
      </c>
      <c r="G14" s="21" t="str">
        <f>+$G$3</f>
        <v>Taux Swap</v>
      </c>
      <c r="H14" s="21"/>
      <c r="I14" s="4" t="str">
        <f>+[1]MTM!$O$42</f>
        <v>Valeur indicative*</v>
      </c>
    </row>
    <row r="15" spans="1:12" hidden="1" outlineLevel="1" x14ac:dyDescent="0.25">
      <c r="A15" t="s">
        <v>1</v>
      </c>
      <c r="B15" s="5">
        <v>42821</v>
      </c>
      <c r="C15" s="6">
        <v>42821</v>
      </c>
      <c r="D15" s="6">
        <v>44281</v>
      </c>
      <c r="E15" s="7">
        <f>+E4</f>
        <v>766756</v>
      </c>
      <c r="F15" s="7">
        <v>515028</v>
      </c>
      <c r="G15" s="8">
        <v>1.49E-2</v>
      </c>
      <c r="H15" s="8"/>
      <c r="I15" s="9">
        <v>4213</v>
      </c>
      <c r="K15" s="20"/>
    </row>
    <row r="16" spans="1:12" hidden="1" outlineLevel="1" x14ac:dyDescent="0.25">
      <c r="A16" t="s">
        <v>2</v>
      </c>
      <c r="B16" s="5">
        <v>41061</v>
      </c>
      <c r="C16" s="6">
        <v>43430</v>
      </c>
      <c r="D16" s="6">
        <v>44526</v>
      </c>
      <c r="E16" s="7">
        <f t="shared" ref="E16:E21" si="0">+E5</f>
        <v>16834462</v>
      </c>
      <c r="F16" s="7">
        <v>16241895</v>
      </c>
      <c r="G16" s="8">
        <v>2.2499999999999999E-2</v>
      </c>
      <c r="H16" s="8"/>
      <c r="I16" s="9">
        <v>438758</v>
      </c>
    </row>
    <row r="17" spans="1:13" hidden="1" outlineLevel="1" x14ac:dyDescent="0.25">
      <c r="A17" t="s">
        <v>3</v>
      </c>
      <c r="B17" s="5">
        <v>41514</v>
      </c>
      <c r="C17" s="6">
        <v>43434</v>
      </c>
      <c r="D17" s="6">
        <v>45442</v>
      </c>
      <c r="E17" s="7">
        <f t="shared" si="0"/>
        <v>7172462.8499999996</v>
      </c>
      <c r="F17" s="7">
        <v>6604038</v>
      </c>
      <c r="G17" s="8">
        <v>3.4000000000000002E-2</v>
      </c>
      <c r="H17" s="8"/>
      <c r="I17" s="9">
        <v>593380</v>
      </c>
    </row>
    <row r="18" spans="1:13" hidden="1" outlineLevel="1" x14ac:dyDescent="0.25">
      <c r="A18" t="s">
        <v>3</v>
      </c>
      <c r="B18" s="5">
        <v>41663</v>
      </c>
      <c r="C18" s="6">
        <v>43434</v>
      </c>
      <c r="D18" s="6">
        <v>45442</v>
      </c>
      <c r="E18" s="7">
        <f t="shared" si="0"/>
        <v>4402703.46</v>
      </c>
      <c r="F18" s="7">
        <v>4045774</v>
      </c>
      <c r="G18" s="8">
        <v>0.03</v>
      </c>
      <c r="H18" s="8"/>
      <c r="I18" s="9">
        <v>305037</v>
      </c>
    </row>
    <row r="19" spans="1:13" hidden="1" outlineLevel="1" x14ac:dyDescent="0.25">
      <c r="A19" t="s">
        <v>3</v>
      </c>
      <c r="B19" s="5">
        <v>41716</v>
      </c>
      <c r="C19" s="6">
        <v>41789</v>
      </c>
      <c r="D19" s="6">
        <v>45442</v>
      </c>
      <c r="E19" s="7">
        <f t="shared" si="0"/>
        <v>7912500</v>
      </c>
      <c r="F19" s="7">
        <v>5806253</v>
      </c>
      <c r="G19" s="8">
        <v>2.9000000000000001E-2</v>
      </c>
      <c r="H19" s="8"/>
      <c r="I19" s="9">
        <v>416842</v>
      </c>
    </row>
    <row r="20" spans="1:13" hidden="1" outlineLevel="1" x14ac:dyDescent="0.25">
      <c r="A20" t="s">
        <v>4</v>
      </c>
      <c r="B20" s="5">
        <v>43249</v>
      </c>
      <c r="C20" s="6">
        <v>43430</v>
      </c>
      <c r="D20" s="6">
        <v>45072</v>
      </c>
      <c r="E20" s="7">
        <f t="shared" si="0"/>
        <v>13194518.01</v>
      </c>
      <c r="F20" s="7">
        <v>12800855</v>
      </c>
      <c r="G20" s="8">
        <v>2.69E-2</v>
      </c>
      <c r="H20" s="8"/>
      <c r="I20" s="9">
        <v>742735</v>
      </c>
      <c r="J20" s="18"/>
      <c r="K20" s="18"/>
      <c r="L20" s="18"/>
      <c r="M20" s="18"/>
    </row>
    <row r="21" spans="1:13" hidden="1" outlineLevel="1" x14ac:dyDescent="0.25">
      <c r="A21" t="s">
        <v>5</v>
      </c>
      <c r="B21" s="5">
        <v>43249</v>
      </c>
      <c r="C21" s="6">
        <v>43430</v>
      </c>
      <c r="D21" s="6">
        <v>50551</v>
      </c>
      <c r="E21" s="7">
        <f t="shared" si="0"/>
        <v>21557728.260000002</v>
      </c>
      <c r="F21" s="7">
        <v>20968416</v>
      </c>
      <c r="G21" s="8">
        <v>2.9399999999999999E-2</v>
      </c>
      <c r="H21" s="8"/>
      <c r="I21" s="9">
        <v>4386836</v>
      </c>
    </row>
    <row r="22" spans="1:13" ht="15.75" hidden="1" outlineLevel="1" thickBot="1" x14ac:dyDescent="0.3">
      <c r="B22" s="10"/>
      <c r="C22" s="11"/>
      <c r="D22" s="11"/>
      <c r="E22" s="12"/>
      <c r="F22" s="12"/>
      <c r="G22" s="12"/>
      <c r="H22" s="12"/>
      <c r="I22" s="13">
        <f>SUM(I15:I21)</f>
        <v>6887801</v>
      </c>
    </row>
    <row r="23" spans="1:13" hidden="1" outlineLevel="1" x14ac:dyDescent="0.25"/>
    <row r="24" spans="1:13" hidden="1" outlineLevel="1" x14ac:dyDescent="0.25">
      <c r="A24" t="s">
        <v>7</v>
      </c>
      <c r="I24" s="20" t="e">
        <f>+I22-$I$11</f>
        <v>#REF!</v>
      </c>
      <c r="K24" s="20"/>
    </row>
    <row r="25" spans="1:13" hidden="1" outlineLevel="1" x14ac:dyDescent="0.25">
      <c r="K25" s="20"/>
    </row>
    <row r="26" spans="1:13" ht="15.75" hidden="1" outlineLevel="1" thickBot="1" x14ac:dyDescent="0.3"/>
    <row r="27" spans="1:13" ht="15.75" hidden="1" outlineLevel="1" thickBot="1" x14ac:dyDescent="0.3">
      <c r="A27" t="s">
        <v>0</v>
      </c>
      <c r="B27" s="257">
        <v>43921</v>
      </c>
      <c r="C27" s="258"/>
      <c r="D27" s="258"/>
      <c r="E27" s="258"/>
      <c r="F27" s="258"/>
      <c r="G27" s="258"/>
      <c r="H27" s="258"/>
      <c r="I27" s="259"/>
    </row>
    <row r="28" spans="1:13" ht="30" hidden="1" outlineLevel="1" x14ac:dyDescent="0.25">
      <c r="B28" s="2" t="str">
        <f>+[1]MTM!$E$42</f>
        <v>Date de transaction</v>
      </c>
      <c r="C28" s="3" t="str">
        <f>+[1]MTM!$F$42</f>
        <v>Date de début</v>
      </c>
      <c r="D28" s="3" t="str">
        <f>+[1]MTM!$G$42</f>
        <v>Échéance</v>
      </c>
      <c r="E28" s="3" t="str">
        <f>+[1]MTM!$I$42</f>
        <v>Nominal initial du contrat</v>
      </c>
      <c r="F28" s="3" t="str">
        <f>+[1]MTM!$J$42</f>
        <v>Nominal restant</v>
      </c>
      <c r="G28" s="21" t="str">
        <f>+$G$3</f>
        <v>Taux Swap</v>
      </c>
      <c r="H28" s="21"/>
      <c r="I28" s="4" t="str">
        <f>+[1]MTM!$O$42</f>
        <v>Valeur indicative*</v>
      </c>
    </row>
    <row r="29" spans="1:13" hidden="1" outlineLevel="1" x14ac:dyDescent="0.25">
      <c r="A29" t="s">
        <v>1</v>
      </c>
      <c r="B29" s="5">
        <v>42821</v>
      </c>
      <c r="C29" s="6">
        <v>42821</v>
      </c>
      <c r="D29" s="6">
        <v>44281</v>
      </c>
      <c r="E29" s="7">
        <f>+E15</f>
        <v>766756</v>
      </c>
      <c r="F29" s="7">
        <v>507321</v>
      </c>
      <c r="G29" s="8">
        <v>1.49E-2</v>
      </c>
      <c r="H29" s="8"/>
      <c r="I29" s="9" t="e" cm="1">
        <f t="array" ref="I29">+[5]!TableIRD[Valeur Indicative*/ Indicative Value *]</f>
        <v>#REF!</v>
      </c>
    </row>
    <row r="30" spans="1:13" hidden="1" outlineLevel="1" x14ac:dyDescent="0.25">
      <c r="A30" t="s">
        <v>2</v>
      </c>
      <c r="B30" s="5">
        <v>41061</v>
      </c>
      <c r="C30" s="6">
        <v>43430</v>
      </c>
      <c r="D30" s="6">
        <v>43430</v>
      </c>
      <c r="E30" s="7">
        <f>+E16</f>
        <v>16834462</v>
      </c>
      <c r="F30" s="7">
        <v>16198490</v>
      </c>
      <c r="G30" s="8" t="e" cm="1">
        <f t="array" ref="G30">+[6]!TableIRD[Taux/ Rate]/100</f>
        <v>#REF!</v>
      </c>
      <c r="H30" s="8"/>
      <c r="I30" s="9" t="e" cm="1">
        <f t="array" ref="I30">+[6]!TableIRD[Valeur Indicative*/ Indicative Value *]</f>
        <v>#REF!</v>
      </c>
    </row>
    <row r="31" spans="1:13" hidden="1" outlineLevel="1" x14ac:dyDescent="0.25">
      <c r="A31" t="s">
        <v>3</v>
      </c>
      <c r="B31" s="5">
        <v>41514</v>
      </c>
      <c r="C31" s="6">
        <v>43434</v>
      </c>
      <c r="D31" s="6">
        <v>45442</v>
      </c>
      <c r="E31" s="7">
        <f>+[7]MTM!$I$44</f>
        <v>7172462.8499999996</v>
      </c>
      <c r="F31" s="7">
        <f>+[7]MTM!$J$44</f>
        <v>6565361.5700000003</v>
      </c>
      <c r="G31" s="8">
        <f>+[7]MTM!$K$44/100</f>
        <v>3.4000000000000002E-2</v>
      </c>
      <c r="H31" s="8"/>
      <c r="I31" s="9">
        <f>+[7]MTM!$O$44</f>
        <v>580658.52545900003</v>
      </c>
      <c r="K31" s="20"/>
    </row>
    <row r="32" spans="1:13" hidden="1" outlineLevel="1" x14ac:dyDescent="0.25">
      <c r="A32" t="s">
        <v>3</v>
      </c>
      <c r="B32" s="5">
        <v>41663</v>
      </c>
      <c r="C32" s="6">
        <v>43434</v>
      </c>
      <c r="D32" s="6">
        <v>45442</v>
      </c>
      <c r="E32" s="7">
        <f>+[7]MTM!$I$45</f>
        <v>4402703.46</v>
      </c>
      <c r="F32" s="7">
        <f>+[7]MTM!$J$45</f>
        <v>4021511.53</v>
      </c>
      <c r="G32" s="8">
        <f>+[7]MTM!$K$45/100</f>
        <v>0.03</v>
      </c>
      <c r="H32" s="8"/>
      <c r="I32" s="9">
        <f>+[7]MTM!$O$45</f>
        <v>298646.94936199998</v>
      </c>
    </row>
    <row r="33" spans="1:11" hidden="1" outlineLevel="1" x14ac:dyDescent="0.25">
      <c r="A33" t="s">
        <v>3</v>
      </c>
      <c r="B33" s="5">
        <v>41716</v>
      </c>
      <c r="C33" s="6">
        <v>41789</v>
      </c>
      <c r="D33" s="6">
        <v>45442</v>
      </c>
      <c r="E33" s="7">
        <f>+[7]MTM!$I$46</f>
        <v>7912500</v>
      </c>
      <c r="F33" s="7">
        <f>+[7]MTM!$J$46</f>
        <v>5772065.1100000003</v>
      </c>
      <c r="G33" s="8">
        <f>+[7]MTM!$K$46/100</f>
        <v>2.8999999999999998E-2</v>
      </c>
      <c r="H33" s="8"/>
      <c r="I33" s="9">
        <f>+[7]MTM!$O$46</f>
        <v>408092.17353500001</v>
      </c>
    </row>
    <row r="34" spans="1:11" hidden="1" outlineLevel="1" x14ac:dyDescent="0.25">
      <c r="A34" t="s">
        <v>4</v>
      </c>
      <c r="B34" s="5">
        <v>43249</v>
      </c>
      <c r="C34" s="6">
        <v>43430</v>
      </c>
      <c r="D34" s="6">
        <v>45072</v>
      </c>
      <c r="E34" s="7">
        <f>+[8]MTM!$I$44</f>
        <v>13194518.01</v>
      </c>
      <c r="F34" s="7">
        <f>+[8]MTM!$J$44</f>
        <v>12771647.140000001</v>
      </c>
      <c r="G34" s="8">
        <f>+[8]MTM!$K$44/100</f>
        <v>2.69E-2</v>
      </c>
      <c r="H34" s="8"/>
      <c r="I34" s="9">
        <f>+[8]MTM!$O$44</f>
        <v>725888.72642099997</v>
      </c>
    </row>
    <row r="35" spans="1:11" hidden="1" outlineLevel="1" x14ac:dyDescent="0.25">
      <c r="A35" t="s">
        <v>5</v>
      </c>
      <c r="B35" s="5">
        <v>43249</v>
      </c>
      <c r="C35" s="6">
        <v>43430</v>
      </c>
      <c r="D35" s="6">
        <v>50551</v>
      </c>
      <c r="E35" s="7">
        <f>+[8]MTM!$I$45</f>
        <v>21557728.260000002</v>
      </c>
      <c r="F35" s="7">
        <f>+[8]MTM!$J$45</f>
        <v>20923663.690000001</v>
      </c>
      <c r="G35" s="8">
        <f>+[8]MTM!$K$45/100</f>
        <v>2.9399999999999999E-2</v>
      </c>
      <c r="H35" s="8"/>
      <c r="I35" s="9">
        <f>+[8]MTM!$O$45</f>
        <v>4198905.0957779996</v>
      </c>
    </row>
    <row r="36" spans="1:11" ht="15.75" hidden="1" outlineLevel="1" thickBot="1" x14ac:dyDescent="0.3">
      <c r="B36" s="10"/>
      <c r="C36" s="11"/>
      <c r="D36" s="11"/>
      <c r="E36" s="12"/>
      <c r="F36" s="12"/>
      <c r="G36" s="12"/>
      <c r="H36" s="12"/>
      <c r="I36" s="13" t="e">
        <f>SUM(I29:I35)</f>
        <v>#REF!</v>
      </c>
    </row>
    <row r="37" spans="1:11" hidden="1" outlineLevel="1" x14ac:dyDescent="0.25"/>
    <row r="38" spans="1:11" hidden="1" outlineLevel="1" x14ac:dyDescent="0.25">
      <c r="A38" t="s">
        <v>7</v>
      </c>
      <c r="I38" s="20" t="e">
        <f>+I36-$I$11</f>
        <v>#REF!</v>
      </c>
      <c r="K38" s="20"/>
    </row>
    <row r="39" spans="1:11" hidden="1" outlineLevel="1" x14ac:dyDescent="0.25">
      <c r="A39" t="s">
        <v>8</v>
      </c>
      <c r="I39" s="20" t="e">
        <f>+I36-I22</f>
        <v>#REF!</v>
      </c>
    </row>
    <row r="40" spans="1:11" hidden="1" outlineLevel="1" x14ac:dyDescent="0.25"/>
    <row r="41" spans="1:11" ht="15.75" hidden="1" outlineLevel="1" thickBot="1" x14ac:dyDescent="0.3"/>
    <row r="42" spans="1:11" ht="15.75" hidden="1" outlineLevel="1" thickBot="1" x14ac:dyDescent="0.3">
      <c r="A42" t="s">
        <v>0</v>
      </c>
      <c r="B42" s="257">
        <v>44012</v>
      </c>
      <c r="C42" s="258"/>
      <c r="D42" s="258"/>
      <c r="E42" s="258"/>
      <c r="F42" s="258"/>
      <c r="G42" s="258"/>
      <c r="H42" s="258"/>
      <c r="I42" s="259"/>
    </row>
    <row r="43" spans="1:11" ht="30" hidden="1" outlineLevel="1" x14ac:dyDescent="0.25">
      <c r="B43" s="2" t="str">
        <f>+[1]MTM!$E$42</f>
        <v>Date de transaction</v>
      </c>
      <c r="C43" s="3" t="str">
        <f>+[1]MTM!$F$42</f>
        <v>Date de début</v>
      </c>
      <c r="D43" s="3" t="str">
        <f>+[1]MTM!$G$42</f>
        <v>Échéance</v>
      </c>
      <c r="E43" s="3" t="str">
        <f>+[1]MTM!$I$42</f>
        <v>Nominal initial du contrat</v>
      </c>
      <c r="F43" s="3" t="str">
        <f>+[1]MTM!$J$42</f>
        <v>Nominal restant</v>
      </c>
      <c r="G43" s="21" t="str">
        <f>+$G$3</f>
        <v>Taux Swap</v>
      </c>
      <c r="H43" s="21"/>
      <c r="I43" s="4" t="str">
        <f>+[1]MTM!$O$42</f>
        <v>Valeur indicative*</v>
      </c>
    </row>
    <row r="44" spans="1:11" hidden="1" outlineLevel="1" x14ac:dyDescent="0.25">
      <c r="A44" t="s">
        <v>1</v>
      </c>
      <c r="B44" s="5">
        <v>42821</v>
      </c>
      <c r="C44" s="6">
        <v>42821</v>
      </c>
      <c r="D44" s="6">
        <v>44281</v>
      </c>
      <c r="E44" s="7">
        <f>+E29</f>
        <v>766756</v>
      </c>
      <c r="F44" s="7">
        <f>+'[9]Des Pommetriers '!$D$52</f>
        <v>484326.08342378197</v>
      </c>
      <c r="G44" s="8">
        <v>1.49E-2</v>
      </c>
      <c r="H44" s="8"/>
      <c r="I44" s="9"/>
    </row>
    <row r="45" spans="1:11" hidden="1" outlineLevel="1" x14ac:dyDescent="0.25">
      <c r="A45" t="s">
        <v>2</v>
      </c>
      <c r="B45" s="5">
        <v>41061</v>
      </c>
      <c r="C45" s="6">
        <v>43430</v>
      </c>
      <c r="D45" s="6">
        <v>44526</v>
      </c>
      <c r="E45" s="7">
        <f t="shared" ref="E45:E50" si="1">+E30</f>
        <v>16834462</v>
      </c>
      <c r="F45" s="7">
        <v>16076844</v>
      </c>
      <c r="G45" s="8" t="e" cm="1">
        <f t="array" ref="G45">+[6]!TableIRD[Taux/ Rate]/100</f>
        <v>#REF!</v>
      </c>
      <c r="H45" s="8"/>
      <c r="I45" s="9" t="e" cm="1">
        <f t="array" ref="I45">+[10]!TableIRD[Valeur Indicative*/ Indicative Value *]</f>
        <v>#REF!</v>
      </c>
    </row>
    <row r="46" spans="1:11" hidden="1" outlineLevel="1" x14ac:dyDescent="0.25">
      <c r="A46" t="s">
        <v>3</v>
      </c>
      <c r="B46" s="5">
        <v>41514</v>
      </c>
      <c r="C46" s="6">
        <v>43434</v>
      </c>
      <c r="D46" s="6">
        <v>45442</v>
      </c>
      <c r="E46" s="7">
        <f t="shared" si="1"/>
        <v>7172462.8499999996</v>
      </c>
      <c r="F46" s="7">
        <f>+[11]MTM!$J$44</f>
        <v>6447111.8200000003</v>
      </c>
      <c r="G46" s="8">
        <f>+[7]MTM!$K$44/100</f>
        <v>3.4000000000000002E-2</v>
      </c>
      <c r="H46" s="8"/>
      <c r="I46" s="9">
        <f>+[11]MTM!$O$44</f>
        <v>583399.57435899996</v>
      </c>
    </row>
    <row r="47" spans="1:11" hidden="1" outlineLevel="1" x14ac:dyDescent="0.25">
      <c r="A47" t="s">
        <v>3</v>
      </c>
      <c r="B47" s="5">
        <v>41663</v>
      </c>
      <c r="C47" s="6">
        <v>43434</v>
      </c>
      <c r="D47" s="6">
        <v>45442</v>
      </c>
      <c r="E47" s="7">
        <f t="shared" si="1"/>
        <v>4402703.46</v>
      </c>
      <c r="F47" s="7">
        <f>+[11]MTM!$J$45</f>
        <v>3947443.21</v>
      </c>
      <c r="G47" s="8">
        <f>+[7]MTM!$K$45/100</f>
        <v>0.03</v>
      </c>
      <c r="H47" s="8"/>
      <c r="I47" s="9">
        <f>+[11]MTM!$O$45</f>
        <v>304134.14674599998</v>
      </c>
    </row>
    <row r="48" spans="1:11" hidden="1" outlineLevel="1" x14ac:dyDescent="0.25">
      <c r="A48" t="s">
        <v>3</v>
      </c>
      <c r="B48" s="5">
        <v>41716</v>
      </c>
      <c r="C48" s="6">
        <v>41789</v>
      </c>
      <c r="D48" s="6">
        <v>45442</v>
      </c>
      <c r="E48" s="7">
        <f t="shared" si="1"/>
        <v>7912500</v>
      </c>
      <c r="F48" s="7">
        <f>+[11]MTM!$J$46</f>
        <v>5664293.5599999996</v>
      </c>
      <c r="G48" s="8">
        <f>+[7]MTM!$K$46/100</f>
        <v>2.8999999999999998E-2</v>
      </c>
      <c r="H48" s="8"/>
      <c r="I48" s="9">
        <f>+[11]MTM!$O$46</f>
        <v>417479.71102599998</v>
      </c>
    </row>
    <row r="49" spans="1:22" hidden="1" outlineLevel="1" x14ac:dyDescent="0.25">
      <c r="A49" t="s">
        <v>4</v>
      </c>
      <c r="B49" s="5">
        <v>43249</v>
      </c>
      <c r="C49" s="6">
        <v>43430</v>
      </c>
      <c r="D49" s="6">
        <v>45072</v>
      </c>
      <c r="E49" s="7">
        <f t="shared" si="1"/>
        <v>13194518.01</v>
      </c>
      <c r="F49" s="7">
        <f>+[12]MTM!$J$44</f>
        <v>12690936.970000001</v>
      </c>
      <c r="G49" s="8">
        <f>+[8]MTM!$K$44/100</f>
        <v>2.69E-2</v>
      </c>
      <c r="H49" s="8"/>
      <c r="I49" s="9">
        <f>+[12]MTM!$O$44</f>
        <v>741853.46372500004</v>
      </c>
    </row>
    <row r="50" spans="1:22" hidden="1" outlineLevel="1" x14ac:dyDescent="0.25">
      <c r="A50" t="s">
        <v>5</v>
      </c>
      <c r="B50" s="5">
        <v>43249</v>
      </c>
      <c r="C50" s="6">
        <v>43430</v>
      </c>
      <c r="D50" s="6">
        <v>50551</v>
      </c>
      <c r="E50" s="7">
        <f t="shared" si="1"/>
        <v>21557728.260000002</v>
      </c>
      <c r="F50" s="7">
        <f>+[12]MTM!$J$45</f>
        <v>20802554.25</v>
      </c>
      <c r="G50" s="8">
        <f>+[8]MTM!$K$45/100</f>
        <v>2.9399999999999999E-2</v>
      </c>
      <c r="H50" s="8"/>
      <c r="I50" s="9">
        <f>+[12]MTM!$O$45</f>
        <v>4379258.2147519998</v>
      </c>
    </row>
    <row r="51" spans="1:22" ht="15.75" hidden="1" outlineLevel="1" thickBot="1" x14ac:dyDescent="0.3">
      <c r="B51" s="10"/>
      <c r="C51" s="11"/>
      <c r="D51" s="11"/>
      <c r="E51" s="12"/>
      <c r="F51" s="12"/>
      <c r="G51" s="12"/>
      <c r="H51" s="12"/>
      <c r="I51" s="13" t="e">
        <f>SUM(I44:I50)</f>
        <v>#REF!</v>
      </c>
    </row>
    <row r="52" spans="1:22" hidden="1" outlineLevel="1" x14ac:dyDescent="0.25"/>
    <row r="53" spans="1:22" hidden="1" outlineLevel="1" x14ac:dyDescent="0.25">
      <c r="A53" t="s">
        <v>7</v>
      </c>
      <c r="I53" s="20" t="e">
        <f>+I51-$I$11</f>
        <v>#REF!</v>
      </c>
    </row>
    <row r="54" spans="1:22" hidden="1" outlineLevel="1" x14ac:dyDescent="0.25">
      <c r="A54" t="s">
        <v>8</v>
      </c>
      <c r="I54" s="20" t="e">
        <f>+I51-I36</f>
        <v>#REF!</v>
      </c>
    </row>
    <row r="55" spans="1:22" hidden="1" outlineLevel="1" x14ac:dyDescent="0.25"/>
    <row r="56" spans="1:22" ht="15.75" collapsed="1" thickBot="1" x14ac:dyDescent="0.3"/>
    <row r="57" spans="1:22" ht="15.75" thickBot="1" x14ac:dyDescent="0.3">
      <c r="A57" t="s">
        <v>0</v>
      </c>
      <c r="B57" s="257">
        <v>45001</v>
      </c>
      <c r="C57" s="258"/>
      <c r="D57" s="258"/>
      <c r="E57" s="258"/>
      <c r="F57" s="258"/>
      <c r="G57" s="258"/>
      <c r="H57" s="258"/>
      <c r="I57" s="259"/>
    </row>
    <row r="58" spans="1:22" ht="30" x14ac:dyDescent="0.25">
      <c r="A58" s="24" t="s">
        <v>18</v>
      </c>
      <c r="B58" s="26" t="str">
        <f>+[1]MTM!$E$42</f>
        <v>Date de transaction</v>
      </c>
      <c r="C58" s="21" t="str">
        <f>+[1]MTM!$F$42</f>
        <v>Date de début</v>
      </c>
      <c r="D58" s="21" t="str">
        <f>+[1]MTM!$G$42</f>
        <v>Échéance</v>
      </c>
      <c r="E58" s="3" t="str">
        <f>+[1]MTM!$I$42</f>
        <v>Nominal initial du contrat</v>
      </c>
      <c r="F58" s="3" t="str">
        <f>+[1]MTM!$J$42</f>
        <v>Nominal restant</v>
      </c>
      <c r="G58" s="21" t="str">
        <f>+$G$3</f>
        <v>Taux Swap</v>
      </c>
      <c r="H58" s="21" t="s">
        <v>72</v>
      </c>
      <c r="I58" s="28" t="str">
        <f>+[1]MTM!$O$42</f>
        <v>Valeur indicative*</v>
      </c>
      <c r="K58" s="21" t="s">
        <v>55</v>
      </c>
      <c r="L58" s="21" t="s">
        <v>15</v>
      </c>
      <c r="M58" s="21" t="s">
        <v>16</v>
      </c>
      <c r="O58" t="s">
        <v>32</v>
      </c>
    </row>
    <row r="59" spans="1:22" x14ac:dyDescent="0.25">
      <c r="A59" s="27"/>
      <c r="B59" s="5"/>
      <c r="C59" s="6"/>
      <c r="D59" s="6"/>
      <c r="E59" s="7"/>
      <c r="F59" s="7"/>
      <c r="G59" s="32"/>
      <c r="H59" s="32"/>
      <c r="I59" s="9" t="s">
        <v>74</v>
      </c>
      <c r="K59" s="23"/>
      <c r="L59" s="25"/>
      <c r="M59" s="33"/>
      <c r="O59" s="23"/>
    </row>
    <row r="60" spans="1:22" x14ac:dyDescent="0.25">
      <c r="A60" s="27"/>
      <c r="B60" s="5"/>
      <c r="C60" s="6"/>
      <c r="D60" s="6"/>
      <c r="E60" s="71"/>
      <c r="F60" s="71"/>
      <c r="G60" s="72"/>
      <c r="H60" s="72"/>
      <c r="I60" s="73" t="s">
        <v>75</v>
      </c>
      <c r="K60" s="23"/>
      <c r="L60" s="74"/>
      <c r="M60" s="33"/>
      <c r="O60" s="23"/>
    </row>
    <row r="61" spans="1:22" ht="38.25" x14ac:dyDescent="0.25">
      <c r="A61" s="27" t="s">
        <v>3</v>
      </c>
      <c r="B61" s="5">
        <v>41514</v>
      </c>
      <c r="C61" s="6">
        <v>43434</v>
      </c>
      <c r="D61" s="49">
        <v>45442</v>
      </c>
      <c r="E61" s="7">
        <v>8900000</v>
      </c>
      <c r="F61" s="7">
        <v>5294740.74</v>
      </c>
      <c r="G61" s="32">
        <f>+[7]MTM!$K$44/100</f>
        <v>3.4000000000000002E-2</v>
      </c>
      <c r="H61" s="32">
        <v>2.4500000000000001E-2</v>
      </c>
      <c r="I61" s="9"/>
      <c r="K61" s="23" t="s">
        <v>14</v>
      </c>
      <c r="L61" s="25" t="s">
        <v>37</v>
      </c>
      <c r="M61" s="48">
        <v>45443</v>
      </c>
      <c r="N61" t="s">
        <v>21</v>
      </c>
      <c r="O61" s="23" t="s">
        <v>29</v>
      </c>
      <c r="Q61" s="101" t="s">
        <v>18</v>
      </c>
      <c r="R61" s="102" t="s">
        <v>80</v>
      </c>
      <c r="S61" s="103" t="s">
        <v>81</v>
      </c>
      <c r="T61" s="103" t="s">
        <v>82</v>
      </c>
      <c r="U61" s="104" t="s">
        <v>83</v>
      </c>
      <c r="V61" s="103" t="s">
        <v>10</v>
      </c>
    </row>
    <row r="62" spans="1:22" x14ac:dyDescent="0.25">
      <c r="A62" s="27" t="s">
        <v>3</v>
      </c>
      <c r="B62" s="5">
        <v>41663</v>
      </c>
      <c r="C62" s="6">
        <v>43434</v>
      </c>
      <c r="D62" s="49">
        <v>45442</v>
      </c>
      <c r="E62" s="7">
        <v>5500000</v>
      </c>
      <c r="F62" s="7">
        <v>3229653.23</v>
      </c>
      <c r="G62" s="32">
        <f>+[7]MTM!$K$45/100</f>
        <v>0.03</v>
      </c>
      <c r="H62" s="32">
        <f>+H61</f>
        <v>2.4500000000000001E-2</v>
      </c>
      <c r="I62" s="9"/>
      <c r="K62" s="23" t="s">
        <v>14</v>
      </c>
      <c r="L62" s="25" t="str">
        <f>+L61</f>
        <v>20 mois</v>
      </c>
      <c r="M62" s="48">
        <f>+M61</f>
        <v>45443</v>
      </c>
      <c r="N62" t="s">
        <v>21</v>
      </c>
      <c r="O62" s="23" t="s">
        <v>29</v>
      </c>
      <c r="Q62" s="105" t="s">
        <v>5</v>
      </c>
      <c r="R62" s="106" t="s">
        <v>84</v>
      </c>
      <c r="S62" s="105" t="s">
        <v>85</v>
      </c>
      <c r="T62" s="107" t="s">
        <v>86</v>
      </c>
      <c r="U62" s="108" t="s">
        <v>87</v>
      </c>
      <c r="V62" s="109" t="s">
        <v>88</v>
      </c>
    </row>
    <row r="63" spans="1:22" x14ac:dyDescent="0.25">
      <c r="A63" s="27" t="s">
        <v>3</v>
      </c>
      <c r="B63" s="5">
        <v>41716</v>
      </c>
      <c r="C63" s="6">
        <v>41789</v>
      </c>
      <c r="D63" s="49">
        <v>45442</v>
      </c>
      <c r="E63" s="7">
        <v>7912500</v>
      </c>
      <c r="F63" s="7">
        <v>4629570.2300000004</v>
      </c>
      <c r="G63" s="32">
        <f>+[7]MTM!$K$46/100</f>
        <v>2.8999999999999998E-2</v>
      </c>
      <c r="H63" s="32">
        <f>+H61</f>
        <v>2.4500000000000001E-2</v>
      </c>
      <c r="I63" s="9"/>
      <c r="K63" s="23" t="s">
        <v>14</v>
      </c>
      <c r="L63" s="25" t="str">
        <f>+L61</f>
        <v>20 mois</v>
      </c>
      <c r="M63" s="48">
        <f>+M62</f>
        <v>45443</v>
      </c>
      <c r="N63" t="s">
        <v>21</v>
      </c>
      <c r="O63" s="23" t="s">
        <v>29</v>
      </c>
      <c r="Q63" s="105" t="s">
        <v>51</v>
      </c>
      <c r="R63" s="106" t="s">
        <v>52</v>
      </c>
      <c r="S63" s="105" t="s">
        <v>89</v>
      </c>
      <c r="T63" s="107" t="s">
        <v>90</v>
      </c>
      <c r="U63" s="108" t="s">
        <v>91</v>
      </c>
      <c r="V63" s="110">
        <v>25.33</v>
      </c>
    </row>
    <row r="64" spans="1:22" x14ac:dyDescent="0.25">
      <c r="A64" s="27" t="s">
        <v>4</v>
      </c>
      <c r="B64" s="5">
        <v>43249</v>
      </c>
      <c r="C64" s="6">
        <v>43430</v>
      </c>
      <c r="D64" s="50">
        <v>45072</v>
      </c>
      <c r="E64" s="7">
        <f t="shared" ref="E64:E65" si="2">+E49</f>
        <v>13194518.01</v>
      </c>
      <c r="F64" s="7">
        <v>11914297.369999999</v>
      </c>
      <c r="G64" s="32">
        <f>+[8]MTM!$K$44/100</f>
        <v>2.69E-2</v>
      </c>
      <c r="H64" s="32">
        <v>1.9E-2</v>
      </c>
      <c r="I64" s="9"/>
      <c r="K64" s="23" t="s">
        <v>36</v>
      </c>
      <c r="L64" s="25" t="s">
        <v>53</v>
      </c>
      <c r="M64" s="51">
        <v>45281</v>
      </c>
      <c r="N64" t="s">
        <v>24</v>
      </c>
      <c r="O64" s="23" t="s">
        <v>31</v>
      </c>
      <c r="Q64" s="105" t="s">
        <v>51</v>
      </c>
      <c r="R64" s="106" t="s">
        <v>52</v>
      </c>
      <c r="S64" s="105" t="s">
        <v>89</v>
      </c>
      <c r="T64" s="107" t="s">
        <v>92</v>
      </c>
      <c r="U64" s="108" t="s">
        <v>93</v>
      </c>
      <c r="V64" s="109" t="s">
        <v>94</v>
      </c>
    </row>
    <row r="65" spans="1:22" x14ac:dyDescent="0.25">
      <c r="A65" s="27" t="s">
        <v>5</v>
      </c>
      <c r="B65" s="5">
        <v>43249</v>
      </c>
      <c r="C65" s="6">
        <v>43430</v>
      </c>
      <c r="D65" s="50">
        <v>50551</v>
      </c>
      <c r="E65" s="7">
        <f t="shared" si="2"/>
        <v>21557728.260000002</v>
      </c>
      <c r="F65" s="7">
        <v>19624823.02</v>
      </c>
      <c r="G65" s="32">
        <f>+[8]MTM!$K$45/100</f>
        <v>2.9399999999999999E-2</v>
      </c>
      <c r="H65" s="32">
        <v>2.2499999999999999E-2</v>
      </c>
      <c r="I65" s="9"/>
      <c r="K65" s="23" t="s">
        <v>36</v>
      </c>
      <c r="L65" s="25" t="s">
        <v>54</v>
      </c>
      <c r="M65" s="51">
        <v>45281</v>
      </c>
      <c r="N65" t="s">
        <v>24</v>
      </c>
      <c r="O65" s="23" t="s">
        <v>31</v>
      </c>
      <c r="Q65" s="105" t="s">
        <v>51</v>
      </c>
      <c r="R65" s="106" t="s">
        <v>52</v>
      </c>
      <c r="S65" s="105" t="s">
        <v>89</v>
      </c>
      <c r="T65" s="107" t="s">
        <v>95</v>
      </c>
      <c r="U65" s="108" t="s">
        <v>93</v>
      </c>
      <c r="V65" s="109" t="s">
        <v>96</v>
      </c>
    </row>
    <row r="66" spans="1:22" x14ac:dyDescent="0.25">
      <c r="A66" s="27" t="s">
        <v>51</v>
      </c>
      <c r="B66" s="58" t="s">
        <v>52</v>
      </c>
      <c r="C66" s="6">
        <v>44620</v>
      </c>
      <c r="D66" s="50">
        <v>48270</v>
      </c>
      <c r="E66" s="7">
        <v>24700000</v>
      </c>
      <c r="F66" s="7">
        <v>24383281.190000001</v>
      </c>
      <c r="G66" s="59">
        <v>2.5325E-2</v>
      </c>
      <c r="H66" s="59">
        <v>2.2499999999999999E-2</v>
      </c>
      <c r="I66" s="9"/>
      <c r="K66" s="23"/>
      <c r="L66" s="25" t="s">
        <v>58</v>
      </c>
      <c r="M66" s="51">
        <f>+M65</f>
        <v>45281</v>
      </c>
      <c r="N66" t="s">
        <v>24</v>
      </c>
      <c r="O66" s="23" t="s">
        <v>31</v>
      </c>
      <c r="Q66" s="111"/>
    </row>
    <row r="67" spans="1:22" x14ac:dyDescent="0.25">
      <c r="A67" s="27" t="s">
        <v>51</v>
      </c>
      <c r="B67" s="58" t="str">
        <f>+B66</f>
        <v>2022--02-16</v>
      </c>
      <c r="C67" s="6">
        <f>+C66</f>
        <v>44620</v>
      </c>
      <c r="D67" s="50">
        <v>46444</v>
      </c>
      <c r="E67" s="7">
        <v>10000000</v>
      </c>
      <c r="F67" s="7">
        <v>9890994</v>
      </c>
      <c r="G67" s="32">
        <v>2.3599999999999999E-2</v>
      </c>
      <c r="H67" s="32">
        <v>2.2499999999999999E-2</v>
      </c>
      <c r="I67" s="9"/>
      <c r="K67" s="23"/>
      <c r="L67" s="25" t="s">
        <v>59</v>
      </c>
      <c r="M67" s="51">
        <f>+M66</f>
        <v>45281</v>
      </c>
      <c r="N67" t="s">
        <v>24</v>
      </c>
      <c r="O67" s="23" t="s">
        <v>31</v>
      </c>
    </row>
    <row r="68" spans="1:22" x14ac:dyDescent="0.25">
      <c r="A68" s="27" t="s">
        <v>51</v>
      </c>
      <c r="B68" s="58" t="str">
        <f>+B66</f>
        <v>2022--02-16</v>
      </c>
      <c r="C68" s="6">
        <f>+C66</f>
        <v>44620</v>
      </c>
      <c r="D68" s="50">
        <v>50097</v>
      </c>
      <c r="E68" s="7">
        <v>10000000</v>
      </c>
      <c r="F68" s="7">
        <v>9894763</v>
      </c>
      <c r="G68" s="32">
        <v>2.6030000000000001E-2</v>
      </c>
      <c r="H68" s="32">
        <v>2.2499999999999999E-2</v>
      </c>
      <c r="I68" s="9"/>
      <c r="K68" s="23"/>
      <c r="L68" s="25" t="s">
        <v>60</v>
      </c>
      <c r="M68" s="51">
        <f>+M67</f>
        <v>45281</v>
      </c>
      <c r="N68" t="s">
        <v>24</v>
      </c>
      <c r="O68" s="23" t="s">
        <v>40</v>
      </c>
    </row>
    <row r="69" spans="1:22" x14ac:dyDescent="0.25">
      <c r="A69" s="76" t="s">
        <v>2</v>
      </c>
      <c r="B69" s="77">
        <v>44895</v>
      </c>
      <c r="C69" s="78">
        <v>48547</v>
      </c>
      <c r="D69" s="78">
        <v>44891</v>
      </c>
      <c r="E69" s="79">
        <v>5000000</v>
      </c>
      <c r="F69" s="79">
        <f>+E69</f>
        <v>5000000</v>
      </c>
      <c r="G69" s="88">
        <v>3.6819999999999999E-2</v>
      </c>
      <c r="H69" s="88">
        <v>1.7999999999999999E-2</v>
      </c>
      <c r="I69" s="81"/>
      <c r="J69" s="82"/>
      <c r="K69" s="83" t="s">
        <v>63</v>
      </c>
      <c r="L69" s="84" t="s">
        <v>67</v>
      </c>
      <c r="M69" s="85">
        <v>48547</v>
      </c>
      <c r="N69" s="82" t="s">
        <v>21</v>
      </c>
      <c r="O69" s="83" t="s">
        <v>28</v>
      </c>
    </row>
    <row r="70" spans="1:22" x14ac:dyDescent="0.25">
      <c r="A70" s="76" t="s">
        <v>2</v>
      </c>
      <c r="B70" s="77">
        <v>44895</v>
      </c>
      <c r="C70" s="78">
        <v>48547</v>
      </c>
      <c r="D70" s="78">
        <v>44891</v>
      </c>
      <c r="E70" s="79">
        <v>9644992</v>
      </c>
      <c r="F70" s="79">
        <f>+E70</f>
        <v>9644992</v>
      </c>
      <c r="G70" s="88">
        <v>3.5310000000000001E-2</v>
      </c>
      <c r="H70" s="88">
        <v>1.7999999999999999E-2</v>
      </c>
      <c r="I70" s="81"/>
      <c r="J70" s="82"/>
      <c r="K70" s="83" t="s">
        <v>63</v>
      </c>
      <c r="L70" s="84" t="s">
        <v>67</v>
      </c>
      <c r="M70" s="85">
        <v>48547</v>
      </c>
      <c r="N70" s="82" t="s">
        <v>21</v>
      </c>
      <c r="O70" s="83" t="s">
        <v>28</v>
      </c>
    </row>
    <row r="71" spans="1:22" ht="15.75" thickBot="1" x14ac:dyDescent="0.3">
      <c r="A71" s="27" t="s">
        <v>71</v>
      </c>
      <c r="B71" s="5">
        <v>45001</v>
      </c>
      <c r="C71" s="6">
        <f>+B71</f>
        <v>45001</v>
      </c>
      <c r="D71" s="6">
        <v>47543</v>
      </c>
      <c r="E71" s="71">
        <v>8856000</v>
      </c>
      <c r="F71" s="71">
        <f>+E71</f>
        <v>8856000</v>
      </c>
      <c r="G71" s="90">
        <v>3.2899999999999999E-2</v>
      </c>
      <c r="H71" s="90"/>
      <c r="I71" s="73"/>
      <c r="K71" s="23"/>
      <c r="L71" s="74"/>
      <c r="M71" s="33"/>
      <c r="O71" s="23"/>
    </row>
    <row r="72" spans="1:22" ht="15.75" thickBot="1" x14ac:dyDescent="0.3">
      <c r="B72" s="36"/>
      <c r="C72" s="37"/>
      <c r="D72" s="37"/>
      <c r="E72" s="38">
        <f>SUM(E59:E71)</f>
        <v>125265738.27</v>
      </c>
      <c r="F72" s="38">
        <f>SUM(F59:F71)</f>
        <v>112363114.78</v>
      </c>
      <c r="G72" s="37"/>
      <c r="H72" s="37"/>
      <c r="I72" s="39"/>
      <c r="M72" s="23"/>
      <c r="O72" s="23"/>
    </row>
    <row r="73" spans="1:22" ht="15.75" thickBot="1" x14ac:dyDescent="0.3">
      <c r="B73" s="2"/>
      <c r="E73" s="20"/>
      <c r="F73" s="56">
        <f>+F72/F82</f>
        <v>0.79774491061059483</v>
      </c>
      <c r="I73" s="40"/>
      <c r="M73" s="23"/>
      <c r="O73" s="23"/>
    </row>
    <row r="74" spans="1:22" ht="33.75" customHeight="1" x14ac:dyDescent="0.25">
      <c r="A74" s="24" t="s">
        <v>19</v>
      </c>
      <c r="B74" s="2"/>
      <c r="E74" s="23" t="s">
        <v>39</v>
      </c>
      <c r="F74" s="23" t="s">
        <v>25</v>
      </c>
      <c r="G74" s="260" t="s">
        <v>64</v>
      </c>
      <c r="H74" s="260"/>
      <c r="I74" s="261"/>
      <c r="M74" s="23"/>
      <c r="O74" s="23"/>
    </row>
    <row r="75" spans="1:22" x14ac:dyDescent="0.25">
      <c r="A75" s="27" t="s">
        <v>17</v>
      </c>
      <c r="B75" s="2"/>
      <c r="C75" s="262">
        <v>35000000</v>
      </c>
      <c r="D75" s="6"/>
      <c r="E75" s="42"/>
      <c r="F75" s="42">
        <f>7700000+2300000</f>
        <v>10000000</v>
      </c>
      <c r="G75" s="263" t="s">
        <v>65</v>
      </c>
      <c r="H75" s="263"/>
      <c r="I75" s="264"/>
      <c r="L75" s="23" t="s">
        <v>26</v>
      </c>
      <c r="M75" s="33">
        <v>45281</v>
      </c>
      <c r="N75" t="s">
        <v>24</v>
      </c>
      <c r="O75" s="23" t="s">
        <v>61</v>
      </c>
    </row>
    <row r="76" spans="1:22" x14ac:dyDescent="0.25">
      <c r="A76" s="27" t="s">
        <v>17</v>
      </c>
      <c r="B76" s="2"/>
      <c r="C76" s="262"/>
      <c r="D76" s="6"/>
      <c r="E76" s="42"/>
      <c r="F76" s="42">
        <f>20835000-2300000-3000000</f>
        <v>15535000</v>
      </c>
      <c r="G76" s="263" t="s">
        <v>65</v>
      </c>
      <c r="H76" s="263"/>
      <c r="I76" s="264"/>
      <c r="L76" s="23" t="s">
        <v>26</v>
      </c>
      <c r="M76" s="33">
        <v>45281</v>
      </c>
      <c r="N76" t="s">
        <v>24</v>
      </c>
      <c r="O76" s="23" t="s">
        <v>61</v>
      </c>
    </row>
    <row r="77" spans="1:22" x14ac:dyDescent="0.25">
      <c r="A77" s="27" t="s">
        <v>20</v>
      </c>
      <c r="B77" s="5">
        <v>43374</v>
      </c>
      <c r="C77" s="42"/>
      <c r="D77" s="6"/>
      <c r="E77" s="42"/>
      <c r="F77" s="42"/>
      <c r="G77" s="70">
        <v>2.2499999999999999E-2</v>
      </c>
      <c r="H77" s="70"/>
      <c r="I77" s="89" t="s">
        <v>70</v>
      </c>
      <c r="L77" s="23" t="s">
        <v>26</v>
      </c>
      <c r="M77" s="33">
        <v>45281</v>
      </c>
      <c r="N77" t="s">
        <v>24</v>
      </c>
      <c r="O77" s="23" t="s">
        <v>31</v>
      </c>
    </row>
    <row r="78" spans="1:22" x14ac:dyDescent="0.25">
      <c r="A78" s="27" t="s">
        <v>2</v>
      </c>
      <c r="B78" s="5"/>
      <c r="C78" s="6"/>
      <c r="D78" s="6"/>
      <c r="E78" s="71"/>
      <c r="F78" s="71"/>
      <c r="G78" s="91"/>
      <c r="H78" s="91"/>
      <c r="I78" s="73"/>
      <c r="K78" s="23"/>
      <c r="L78" s="74"/>
      <c r="M78" s="33"/>
      <c r="O78" s="23"/>
    </row>
    <row r="79" spans="1:22" x14ac:dyDescent="0.25">
      <c r="A79" s="27" t="s">
        <v>78</v>
      </c>
      <c r="B79" s="2"/>
      <c r="C79" s="92"/>
      <c r="D79" s="6"/>
      <c r="E79" s="42">
        <v>6857172</v>
      </c>
      <c r="F79" s="42">
        <v>2952818</v>
      </c>
      <c r="G79" s="23" t="s">
        <v>79</v>
      </c>
      <c r="H79" s="99">
        <v>2.4500000000000001E-2</v>
      </c>
      <c r="I79" s="40"/>
      <c r="L79" s="23"/>
      <c r="M79" s="33"/>
      <c r="O79" s="23"/>
    </row>
    <row r="80" spans="1:22" ht="15.75" thickBot="1" x14ac:dyDescent="0.3">
      <c r="B80" s="43"/>
      <c r="C80" s="34"/>
      <c r="D80" s="34"/>
      <c r="E80" s="35">
        <f>SUM(E75:E79)</f>
        <v>6857172</v>
      </c>
      <c r="F80" s="35">
        <f>SUM(F75:F79)</f>
        <v>28487818</v>
      </c>
      <c r="G80" s="34"/>
      <c r="H80" s="34"/>
      <c r="I80" s="44"/>
      <c r="M80" s="23"/>
    </row>
    <row r="81" spans="1:13" ht="15.75" thickBot="1" x14ac:dyDescent="0.3">
      <c r="B81" s="2"/>
      <c r="F81" s="56">
        <f>+F80/F82</f>
        <v>0.20225508938940517</v>
      </c>
      <c r="I81" s="40"/>
      <c r="M81" s="23"/>
    </row>
    <row r="82" spans="1:13" ht="15.75" thickBot="1" x14ac:dyDescent="0.3">
      <c r="A82" s="29" t="s">
        <v>23</v>
      </c>
      <c r="B82" s="45"/>
      <c r="C82" s="30"/>
      <c r="D82" s="30"/>
      <c r="E82" s="31">
        <f>+E72+E80</f>
        <v>132122910.27</v>
      </c>
      <c r="F82" s="57">
        <f>+F72+F80</f>
        <v>140850932.78</v>
      </c>
      <c r="G82" s="30"/>
      <c r="H82" s="30"/>
      <c r="I82" s="46"/>
    </row>
    <row r="83" spans="1:13" ht="15.75" thickTop="1" x14ac:dyDescent="0.25">
      <c r="B83" s="2"/>
      <c r="I83" s="40"/>
    </row>
    <row r="84" spans="1:13" ht="15.75" thickBot="1" x14ac:dyDescent="0.3">
      <c r="B84" s="10"/>
      <c r="C84" s="11"/>
      <c r="D84" s="11"/>
      <c r="E84" s="11"/>
      <c r="F84" s="11"/>
      <c r="G84" s="11"/>
      <c r="H84" s="11"/>
      <c r="I84" s="47"/>
    </row>
    <row r="86" spans="1:13" x14ac:dyDescent="0.25">
      <c r="A86" s="53" t="s">
        <v>42</v>
      </c>
      <c r="B86" s="54"/>
      <c r="E86" s="20">
        <f>+E61+E62+E63</f>
        <v>22312500</v>
      </c>
      <c r="F86" s="75">
        <f>+E86/E87</f>
        <v>0.76492118252135299</v>
      </c>
    </row>
    <row r="87" spans="1:13" x14ac:dyDescent="0.25">
      <c r="A87" s="52" t="s">
        <v>43</v>
      </c>
      <c r="B87" s="55"/>
      <c r="E87" s="100">
        <f>+E86+E79</f>
        <v>29169672</v>
      </c>
    </row>
    <row r="88" spans="1:13" x14ac:dyDescent="0.25">
      <c r="B88" s="22"/>
    </row>
    <row r="89" spans="1:13" x14ac:dyDescent="0.25">
      <c r="A89" t="s">
        <v>56</v>
      </c>
      <c r="B89" s="75">
        <f>+F73</f>
        <v>0.79774491061059483</v>
      </c>
      <c r="C89" t="s">
        <v>66</v>
      </c>
    </row>
    <row r="90" spans="1:13" x14ac:dyDescent="0.25">
      <c r="B90" s="22"/>
    </row>
    <row r="91" spans="1:13" x14ac:dyDescent="0.25">
      <c r="A91" t="s">
        <v>62</v>
      </c>
    </row>
    <row r="92" spans="1:13" x14ac:dyDescent="0.25">
      <c r="B92" s="22"/>
    </row>
  </sheetData>
  <mergeCells count="9">
    <mergeCell ref="C75:C76"/>
    <mergeCell ref="G75:I75"/>
    <mergeCell ref="G76:I76"/>
    <mergeCell ref="B2:I2"/>
    <mergeCell ref="B13:I13"/>
    <mergeCell ref="B27:I27"/>
    <mergeCell ref="B42:I42"/>
    <mergeCell ref="B57:I57"/>
    <mergeCell ref="G74:I74"/>
  </mergeCells>
  <pageMargins left="0.70866141732283472" right="0.70866141732283472" top="0.74803149606299213" bottom="0.74803149606299213" header="0.31496062992125984" footer="0.31496062992125984"/>
  <pageSetup scale="51" orientation="landscape" r:id="rId1"/>
  <headerFooter>
    <oddFooter>&amp;L&amp;Z
&amp;F&amp;C&amp;A&amp;R&amp;D
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B7511-F7EE-446E-AA1B-EEB3EAFC5783}">
  <sheetPr>
    <pageSetUpPr fitToPage="1"/>
  </sheetPr>
  <dimension ref="A1:Q92"/>
  <sheetViews>
    <sheetView zoomScaleNormal="100" workbookViewId="0">
      <selection activeCell="F77" sqref="F77"/>
    </sheetView>
  </sheetViews>
  <sheetFormatPr baseColWidth="10" defaultColWidth="11.5703125" defaultRowHeight="15" outlineLevelRow="1" x14ac:dyDescent="0.25"/>
  <cols>
    <col min="1" max="1" width="28.28515625" customWidth="1"/>
    <col min="2" max="2" width="12.42578125" customWidth="1"/>
    <col min="3" max="3" width="13.7109375" bestFit="1" customWidth="1"/>
    <col min="5" max="6" width="15.28515625" bestFit="1" customWidth="1"/>
    <col min="7" max="8" width="14.5703125" customWidth="1"/>
    <col min="9" max="9" width="12.5703125" bestFit="1" customWidth="1"/>
    <col min="10" max="10" width="5.85546875" customWidth="1"/>
    <col min="11" max="11" width="15.28515625" bestFit="1" customWidth="1"/>
    <col min="12" max="12" width="18.140625" customWidth="1"/>
    <col min="14" max="14" width="24.7109375" customWidth="1"/>
  </cols>
  <sheetData>
    <row r="1" spans="1:12" x14ac:dyDescent="0.25">
      <c r="A1" t="s">
        <v>9</v>
      </c>
    </row>
    <row r="2" spans="1:12" ht="31.15" hidden="1" customHeight="1" outlineLevel="1" thickBot="1" x14ac:dyDescent="0.3">
      <c r="A2" t="s">
        <v>0</v>
      </c>
      <c r="B2" s="257">
        <v>43830</v>
      </c>
      <c r="C2" s="258"/>
      <c r="D2" s="258"/>
      <c r="E2" s="258"/>
      <c r="F2" s="258"/>
      <c r="G2" s="258"/>
      <c r="H2" s="258"/>
      <c r="I2" s="259"/>
      <c r="K2" s="14">
        <v>43465</v>
      </c>
      <c r="L2" s="19" t="s">
        <v>6</v>
      </c>
    </row>
    <row r="3" spans="1:12" ht="30" hidden="1" outlineLevel="1" x14ac:dyDescent="0.25">
      <c r="B3" s="2" t="str">
        <f>+[1]MTM!$E$42</f>
        <v>Date de transaction</v>
      </c>
      <c r="C3" s="3" t="str">
        <f>+[1]MTM!$F$42</f>
        <v>Date de début</v>
      </c>
      <c r="D3" s="3" t="str">
        <f>+[1]MTM!$G$42</f>
        <v>Échéance</v>
      </c>
      <c r="E3" s="3" t="str">
        <f>+[1]MTM!$I$42</f>
        <v>Nominal initial du contrat</v>
      </c>
      <c r="F3" s="3" t="str">
        <f>+[1]MTM!$J$42</f>
        <v>Nominal restant</v>
      </c>
      <c r="G3" s="21" t="s">
        <v>10</v>
      </c>
      <c r="H3" s="21"/>
      <c r="I3" s="4" t="str">
        <f>+[1]MTM!$O$42</f>
        <v>Valeur indicative*</v>
      </c>
      <c r="K3" s="15" t="str">
        <f>+[1]MTM!$O$42</f>
        <v>Valeur indicative*</v>
      </c>
    </row>
    <row r="4" spans="1:12" hidden="1" outlineLevel="1" x14ac:dyDescent="0.25">
      <c r="A4" t="s">
        <v>1</v>
      </c>
      <c r="B4" s="5">
        <v>42821</v>
      </c>
      <c r="C4" s="6">
        <v>42821</v>
      </c>
      <c r="D4" s="6">
        <v>44281</v>
      </c>
      <c r="E4" s="7">
        <v>766756</v>
      </c>
      <c r="F4" s="7">
        <v>530199</v>
      </c>
      <c r="G4" s="8" t="e">
        <f>+[1]!TableIRD[Taux/ Rate]/100</f>
        <v>#REF!</v>
      </c>
      <c r="H4" s="8"/>
      <c r="I4" s="9" t="e">
        <f>+[1]!TableIRD[Valeur Indicative*/ Indicative Value *]</f>
        <v>#REF!</v>
      </c>
      <c r="K4" s="16">
        <v>-8124.27</v>
      </c>
      <c r="L4">
        <v>4213</v>
      </c>
    </row>
    <row r="5" spans="1:12" hidden="1" outlineLevel="1" x14ac:dyDescent="0.25">
      <c r="A5" t="s">
        <v>2</v>
      </c>
      <c r="B5" s="5">
        <v>41061</v>
      </c>
      <c r="C5" s="6">
        <v>43430</v>
      </c>
      <c r="D5" s="6">
        <v>44526</v>
      </c>
      <c r="E5" s="7">
        <v>16834462</v>
      </c>
      <c r="F5" s="7">
        <v>16322594</v>
      </c>
      <c r="G5" s="8" t="e">
        <f>+[2]!TableIRD[Taux/ Rate]/100</f>
        <v>#REF!</v>
      </c>
      <c r="H5" s="8"/>
      <c r="I5" s="9" t="e">
        <f>+[2]!TableIRD[Valeur Indicative*/ Indicative Value *]</f>
        <v>#REF!</v>
      </c>
      <c r="K5" s="16">
        <v>25939.91</v>
      </c>
    </row>
    <row r="6" spans="1:12" hidden="1" outlineLevel="1" x14ac:dyDescent="0.25">
      <c r="A6" t="s">
        <v>3</v>
      </c>
      <c r="B6" s="5">
        <v>41514</v>
      </c>
      <c r="C6" s="6">
        <v>43434</v>
      </c>
      <c r="D6" s="6">
        <v>45442</v>
      </c>
      <c r="E6" s="7">
        <f>+[3]MTM!I44</f>
        <v>7172462.8499999996</v>
      </c>
      <c r="F6" s="7">
        <f>+[3]MTM!J44</f>
        <v>6682927.7000000002</v>
      </c>
      <c r="G6" s="8">
        <f>+[3]MTM!K44/100</f>
        <v>3.4000000000000002E-2</v>
      </c>
      <c r="H6" s="8"/>
      <c r="I6" s="9">
        <f>+[3]MTM!O44</f>
        <v>332057.47367899999</v>
      </c>
      <c r="K6" s="16">
        <v>348277.56</v>
      </c>
    </row>
    <row r="7" spans="1:12" hidden="1" outlineLevel="1" x14ac:dyDescent="0.25">
      <c r="A7" t="s">
        <v>3</v>
      </c>
      <c r="B7" s="5">
        <v>41663</v>
      </c>
      <c r="C7" s="6">
        <v>43434</v>
      </c>
      <c r="D7" s="6">
        <v>45442</v>
      </c>
      <c r="E7" s="7">
        <f>+[3]MTM!I45</f>
        <v>4402703.46</v>
      </c>
      <c r="F7" s="7">
        <f>+[3]MTM!J45</f>
        <v>4095167.49</v>
      </c>
      <c r="G7" s="8">
        <f>+[3]MTM!K45/100</f>
        <v>0.03</v>
      </c>
      <c r="H7" s="8"/>
      <c r="I7" s="9">
        <f>+[3]MTM!O45</f>
        <v>144551.142414</v>
      </c>
      <c r="K7" s="16">
        <v>139218.39000000001</v>
      </c>
    </row>
    <row r="8" spans="1:12" hidden="1" outlineLevel="1" x14ac:dyDescent="0.25">
      <c r="A8" t="s">
        <v>3</v>
      </c>
      <c r="B8" s="5">
        <v>41716</v>
      </c>
      <c r="C8" s="6">
        <v>41789</v>
      </c>
      <c r="D8" s="6">
        <v>45442</v>
      </c>
      <c r="E8" s="7">
        <f>+[3]MTM!I46</f>
        <v>7912500</v>
      </c>
      <c r="F8" s="7">
        <f>+[3]MTM!J46</f>
        <v>5878403.1799999997</v>
      </c>
      <c r="G8" s="8">
        <f>+[3]MTM!K46/100</f>
        <v>2.8999999999999998E-2</v>
      </c>
      <c r="H8" s="8"/>
      <c r="I8" s="9">
        <f>+[3]MTM!O46</f>
        <v>186249.01923800001</v>
      </c>
      <c r="K8" s="16">
        <v>173283.54</v>
      </c>
    </row>
    <row r="9" spans="1:12" hidden="1" outlineLevel="1" x14ac:dyDescent="0.25">
      <c r="A9" t="s">
        <v>4</v>
      </c>
      <c r="B9" s="5">
        <v>43249</v>
      </c>
      <c r="C9" s="6">
        <v>43430</v>
      </c>
      <c r="D9" s="6">
        <v>45072</v>
      </c>
      <c r="E9" s="7">
        <f>+[4]MTM!I44</f>
        <v>13194518.01</v>
      </c>
      <c r="F9" s="7">
        <f>+[4]MTM!J44</f>
        <v>12854500.210000001</v>
      </c>
      <c r="G9" s="8">
        <f>+[4]MTM!K44/100</f>
        <v>2.69E-2</v>
      </c>
      <c r="H9" s="8"/>
      <c r="I9" s="9">
        <f>+[4]MTM!O44</f>
        <v>283708.78010899998</v>
      </c>
      <c r="K9" s="16">
        <v>247739.76</v>
      </c>
    </row>
    <row r="10" spans="1:12" hidden="1" outlineLevel="1" x14ac:dyDescent="0.25">
      <c r="A10" t="s">
        <v>5</v>
      </c>
      <c r="B10" s="5">
        <v>43249</v>
      </c>
      <c r="C10" s="6">
        <v>43430</v>
      </c>
      <c r="D10" s="6">
        <v>50551</v>
      </c>
      <c r="E10" s="7">
        <f>+[4]MTM!I45</f>
        <v>21557728.260000002</v>
      </c>
      <c r="F10" s="7">
        <f>+[4]MTM!J45</f>
        <v>21048899.620000001</v>
      </c>
      <c r="G10" s="8">
        <f>+[4]MTM!K45/100</f>
        <v>2.9399999999999999E-2</v>
      </c>
      <c r="H10" s="8"/>
      <c r="I10" s="9">
        <f>+[4]MTM!O45</f>
        <v>1687701.4754550001</v>
      </c>
      <c r="K10" s="16">
        <v>943238.22</v>
      </c>
    </row>
    <row r="11" spans="1:12" ht="15.75" hidden="1" outlineLevel="1" thickBot="1" x14ac:dyDescent="0.3">
      <c r="B11" s="10"/>
      <c r="C11" s="11"/>
      <c r="D11" s="11"/>
      <c r="E11" s="12"/>
      <c r="F11" s="12"/>
      <c r="G11" s="12"/>
      <c r="H11" s="12"/>
      <c r="I11" s="13" t="e">
        <f>SUM(I4:I10)</f>
        <v>#REF!</v>
      </c>
      <c r="K11" s="17">
        <f>SUM(K4:K10)</f>
        <v>1869573.1099999999</v>
      </c>
    </row>
    <row r="12" spans="1:12" hidden="1" outlineLevel="1" x14ac:dyDescent="0.25">
      <c r="E12" s="1"/>
      <c r="F12" s="1"/>
      <c r="G12" s="1"/>
      <c r="H12" s="1"/>
      <c r="I12" s="1"/>
    </row>
    <row r="13" spans="1:12" ht="15.75" hidden="1" outlineLevel="1" thickBot="1" x14ac:dyDescent="0.3">
      <c r="A13" t="s">
        <v>0</v>
      </c>
      <c r="B13" s="257">
        <v>43906</v>
      </c>
      <c r="C13" s="258"/>
      <c r="D13" s="258"/>
      <c r="E13" s="258"/>
      <c r="F13" s="258"/>
      <c r="G13" s="258"/>
      <c r="H13" s="258"/>
      <c r="I13" s="259"/>
    </row>
    <row r="14" spans="1:12" ht="30" hidden="1" outlineLevel="1" x14ac:dyDescent="0.25">
      <c r="B14" s="2" t="str">
        <f>+[1]MTM!$E$42</f>
        <v>Date de transaction</v>
      </c>
      <c r="C14" s="3" t="str">
        <f>+[1]MTM!$F$42</f>
        <v>Date de début</v>
      </c>
      <c r="D14" s="3" t="str">
        <f>+[1]MTM!$G$42</f>
        <v>Échéance</v>
      </c>
      <c r="E14" s="3" t="str">
        <f>+[1]MTM!$I$42</f>
        <v>Nominal initial du contrat</v>
      </c>
      <c r="F14" s="3" t="str">
        <f>+[1]MTM!$J$42</f>
        <v>Nominal restant</v>
      </c>
      <c r="G14" s="21" t="str">
        <f>+$G$3</f>
        <v>Taux Swap</v>
      </c>
      <c r="H14" s="21"/>
      <c r="I14" s="4" t="str">
        <f>+[1]MTM!$O$42</f>
        <v>Valeur indicative*</v>
      </c>
    </row>
    <row r="15" spans="1:12" hidden="1" outlineLevel="1" x14ac:dyDescent="0.25">
      <c r="A15" t="s">
        <v>1</v>
      </c>
      <c r="B15" s="5">
        <v>42821</v>
      </c>
      <c r="C15" s="6">
        <v>42821</v>
      </c>
      <c r="D15" s="6">
        <v>44281</v>
      </c>
      <c r="E15" s="7">
        <f>+E4</f>
        <v>766756</v>
      </c>
      <c r="F15" s="7">
        <v>515028</v>
      </c>
      <c r="G15" s="8">
        <v>1.49E-2</v>
      </c>
      <c r="H15" s="8"/>
      <c r="I15" s="9">
        <v>4213</v>
      </c>
      <c r="K15" s="20"/>
    </row>
    <row r="16" spans="1:12" hidden="1" outlineLevel="1" x14ac:dyDescent="0.25">
      <c r="A16" t="s">
        <v>2</v>
      </c>
      <c r="B16" s="5">
        <v>41061</v>
      </c>
      <c r="C16" s="6">
        <v>43430</v>
      </c>
      <c r="D16" s="6">
        <v>44526</v>
      </c>
      <c r="E16" s="7">
        <f t="shared" ref="E16:E21" si="0">+E5</f>
        <v>16834462</v>
      </c>
      <c r="F16" s="7">
        <v>16241895</v>
      </c>
      <c r="G16" s="8">
        <v>2.2499999999999999E-2</v>
      </c>
      <c r="H16" s="8"/>
      <c r="I16" s="9">
        <v>438758</v>
      </c>
    </row>
    <row r="17" spans="1:13" hidden="1" outlineLevel="1" x14ac:dyDescent="0.25">
      <c r="A17" t="s">
        <v>3</v>
      </c>
      <c r="B17" s="5">
        <v>41514</v>
      </c>
      <c r="C17" s="6">
        <v>43434</v>
      </c>
      <c r="D17" s="6">
        <v>45442</v>
      </c>
      <c r="E17" s="7">
        <f t="shared" si="0"/>
        <v>7172462.8499999996</v>
      </c>
      <c r="F17" s="7">
        <v>6604038</v>
      </c>
      <c r="G17" s="8">
        <v>3.4000000000000002E-2</v>
      </c>
      <c r="H17" s="8"/>
      <c r="I17" s="9">
        <v>593380</v>
      </c>
    </row>
    <row r="18" spans="1:13" hidden="1" outlineLevel="1" x14ac:dyDescent="0.25">
      <c r="A18" t="s">
        <v>3</v>
      </c>
      <c r="B18" s="5">
        <v>41663</v>
      </c>
      <c r="C18" s="6">
        <v>43434</v>
      </c>
      <c r="D18" s="6">
        <v>45442</v>
      </c>
      <c r="E18" s="7">
        <f t="shared" si="0"/>
        <v>4402703.46</v>
      </c>
      <c r="F18" s="7">
        <v>4045774</v>
      </c>
      <c r="G18" s="8">
        <v>0.03</v>
      </c>
      <c r="H18" s="8"/>
      <c r="I18" s="9">
        <v>305037</v>
      </c>
    </row>
    <row r="19" spans="1:13" hidden="1" outlineLevel="1" x14ac:dyDescent="0.25">
      <c r="A19" t="s">
        <v>3</v>
      </c>
      <c r="B19" s="5">
        <v>41716</v>
      </c>
      <c r="C19" s="6">
        <v>41789</v>
      </c>
      <c r="D19" s="6">
        <v>45442</v>
      </c>
      <c r="E19" s="7">
        <f t="shared" si="0"/>
        <v>7912500</v>
      </c>
      <c r="F19" s="7">
        <v>5806253</v>
      </c>
      <c r="G19" s="8">
        <v>2.9000000000000001E-2</v>
      </c>
      <c r="H19" s="8"/>
      <c r="I19" s="9">
        <v>416842</v>
      </c>
    </row>
    <row r="20" spans="1:13" hidden="1" outlineLevel="1" x14ac:dyDescent="0.25">
      <c r="A20" t="s">
        <v>4</v>
      </c>
      <c r="B20" s="5">
        <v>43249</v>
      </c>
      <c r="C20" s="6">
        <v>43430</v>
      </c>
      <c r="D20" s="6">
        <v>45072</v>
      </c>
      <c r="E20" s="7">
        <f t="shared" si="0"/>
        <v>13194518.01</v>
      </c>
      <c r="F20" s="7">
        <v>12800855</v>
      </c>
      <c r="G20" s="8">
        <v>2.69E-2</v>
      </c>
      <c r="H20" s="8"/>
      <c r="I20" s="9">
        <v>742735</v>
      </c>
      <c r="J20" s="18"/>
      <c r="K20" s="18"/>
      <c r="L20" s="18"/>
      <c r="M20" s="18"/>
    </row>
    <row r="21" spans="1:13" hidden="1" outlineLevel="1" x14ac:dyDescent="0.25">
      <c r="A21" t="s">
        <v>5</v>
      </c>
      <c r="B21" s="5">
        <v>43249</v>
      </c>
      <c r="C21" s="6">
        <v>43430</v>
      </c>
      <c r="D21" s="6">
        <v>50551</v>
      </c>
      <c r="E21" s="7">
        <f t="shared" si="0"/>
        <v>21557728.260000002</v>
      </c>
      <c r="F21" s="7">
        <v>20968416</v>
      </c>
      <c r="G21" s="8">
        <v>2.9399999999999999E-2</v>
      </c>
      <c r="H21" s="8"/>
      <c r="I21" s="9">
        <v>4386836</v>
      </c>
    </row>
    <row r="22" spans="1:13" ht="15.75" hidden="1" outlineLevel="1" thickBot="1" x14ac:dyDescent="0.3">
      <c r="B22" s="10"/>
      <c r="C22" s="11"/>
      <c r="D22" s="11"/>
      <c r="E22" s="12"/>
      <c r="F22" s="12"/>
      <c r="G22" s="12"/>
      <c r="H22" s="12"/>
      <c r="I22" s="13">
        <f>SUM(I15:I21)</f>
        <v>6887801</v>
      </c>
    </row>
    <row r="23" spans="1:13" hidden="1" outlineLevel="1" x14ac:dyDescent="0.25"/>
    <row r="24" spans="1:13" hidden="1" outlineLevel="1" x14ac:dyDescent="0.25">
      <c r="A24" t="s">
        <v>7</v>
      </c>
      <c r="I24" s="20" t="e">
        <f>+I22-$I$11</f>
        <v>#REF!</v>
      </c>
      <c r="K24" s="20"/>
    </row>
    <row r="25" spans="1:13" hidden="1" outlineLevel="1" x14ac:dyDescent="0.25">
      <c r="K25" s="20"/>
    </row>
    <row r="26" spans="1:13" hidden="1" outlineLevel="1" x14ac:dyDescent="0.25"/>
    <row r="27" spans="1:13" ht="15.75" hidden="1" outlineLevel="1" thickBot="1" x14ac:dyDescent="0.3">
      <c r="A27" t="s">
        <v>0</v>
      </c>
      <c r="B27" s="257">
        <v>43921</v>
      </c>
      <c r="C27" s="258"/>
      <c r="D27" s="258"/>
      <c r="E27" s="258"/>
      <c r="F27" s="258"/>
      <c r="G27" s="258"/>
      <c r="H27" s="258"/>
      <c r="I27" s="259"/>
    </row>
    <row r="28" spans="1:13" ht="30" hidden="1" outlineLevel="1" x14ac:dyDescent="0.25">
      <c r="B28" s="2" t="str">
        <f>+[1]MTM!$E$42</f>
        <v>Date de transaction</v>
      </c>
      <c r="C28" s="3" t="str">
        <f>+[1]MTM!$F$42</f>
        <v>Date de début</v>
      </c>
      <c r="D28" s="3" t="str">
        <f>+[1]MTM!$G$42</f>
        <v>Échéance</v>
      </c>
      <c r="E28" s="3" t="str">
        <f>+[1]MTM!$I$42</f>
        <v>Nominal initial du contrat</v>
      </c>
      <c r="F28" s="3" t="str">
        <f>+[1]MTM!$J$42</f>
        <v>Nominal restant</v>
      </c>
      <c r="G28" s="21" t="str">
        <f>+$G$3</f>
        <v>Taux Swap</v>
      </c>
      <c r="H28" s="21"/>
      <c r="I28" s="4" t="str">
        <f>+[1]MTM!$O$42</f>
        <v>Valeur indicative*</v>
      </c>
    </row>
    <row r="29" spans="1:13" hidden="1" outlineLevel="1" x14ac:dyDescent="0.25">
      <c r="A29" t="s">
        <v>1</v>
      </c>
      <c r="B29" s="5">
        <v>42821</v>
      </c>
      <c r="C29" s="6">
        <v>42821</v>
      </c>
      <c r="D29" s="6">
        <v>44281</v>
      </c>
      <c r="E29" s="7">
        <f>+E15</f>
        <v>766756</v>
      </c>
      <c r="F29" s="7">
        <v>507321</v>
      </c>
      <c r="G29" s="8">
        <v>1.49E-2</v>
      </c>
      <c r="H29" s="8"/>
      <c r="I29" s="9" t="e" cm="1">
        <f t="array" ref="I29">+[5]!TableIRD[Valeur Indicative*/ Indicative Value *]</f>
        <v>#REF!</v>
      </c>
    </row>
    <row r="30" spans="1:13" hidden="1" outlineLevel="1" x14ac:dyDescent="0.25">
      <c r="A30" t="s">
        <v>2</v>
      </c>
      <c r="B30" s="5">
        <v>41061</v>
      </c>
      <c r="C30" s="6">
        <v>43430</v>
      </c>
      <c r="D30" s="6">
        <v>43430</v>
      </c>
      <c r="E30" s="7">
        <f>+E16</f>
        <v>16834462</v>
      </c>
      <c r="F30" s="7">
        <v>16198490</v>
      </c>
      <c r="G30" s="8" t="e" cm="1">
        <f t="array" ref="G30">+[6]!TableIRD[Taux/ Rate]/100</f>
        <v>#REF!</v>
      </c>
      <c r="H30" s="8"/>
      <c r="I30" s="9" t="e" cm="1">
        <f t="array" ref="I30">+[6]!TableIRD[Valeur Indicative*/ Indicative Value *]</f>
        <v>#REF!</v>
      </c>
    </row>
    <row r="31" spans="1:13" hidden="1" outlineLevel="1" x14ac:dyDescent="0.25">
      <c r="A31" t="s">
        <v>3</v>
      </c>
      <c r="B31" s="5">
        <v>41514</v>
      </c>
      <c r="C31" s="6">
        <v>43434</v>
      </c>
      <c r="D31" s="6">
        <v>45442</v>
      </c>
      <c r="E31" s="7">
        <f>+[7]MTM!$I$44</f>
        <v>7172462.8499999996</v>
      </c>
      <c r="F31" s="7">
        <f>+[7]MTM!$J$44</f>
        <v>6565361.5700000003</v>
      </c>
      <c r="G31" s="8">
        <f>+[7]MTM!$K$44/100</f>
        <v>3.4000000000000002E-2</v>
      </c>
      <c r="H31" s="8"/>
      <c r="I31" s="9">
        <f>+[7]MTM!$O$44</f>
        <v>580658.52545900003</v>
      </c>
      <c r="K31" s="20"/>
    </row>
    <row r="32" spans="1:13" hidden="1" outlineLevel="1" x14ac:dyDescent="0.25">
      <c r="A32" t="s">
        <v>3</v>
      </c>
      <c r="B32" s="5">
        <v>41663</v>
      </c>
      <c r="C32" s="6">
        <v>43434</v>
      </c>
      <c r="D32" s="6">
        <v>45442</v>
      </c>
      <c r="E32" s="7">
        <f>+[7]MTM!$I$45</f>
        <v>4402703.46</v>
      </c>
      <c r="F32" s="7">
        <f>+[7]MTM!$J$45</f>
        <v>4021511.53</v>
      </c>
      <c r="G32" s="8">
        <f>+[7]MTM!$K$45/100</f>
        <v>0.03</v>
      </c>
      <c r="H32" s="8"/>
      <c r="I32" s="9">
        <f>+[7]MTM!$O$45</f>
        <v>298646.94936199998</v>
      </c>
    </row>
    <row r="33" spans="1:11" hidden="1" outlineLevel="1" x14ac:dyDescent="0.25">
      <c r="A33" t="s">
        <v>3</v>
      </c>
      <c r="B33" s="5">
        <v>41716</v>
      </c>
      <c r="C33" s="6">
        <v>41789</v>
      </c>
      <c r="D33" s="6">
        <v>45442</v>
      </c>
      <c r="E33" s="7">
        <f>+[7]MTM!$I$46</f>
        <v>7912500</v>
      </c>
      <c r="F33" s="7">
        <f>+[7]MTM!$J$46</f>
        <v>5772065.1100000003</v>
      </c>
      <c r="G33" s="8">
        <f>+[7]MTM!$K$46/100</f>
        <v>2.8999999999999998E-2</v>
      </c>
      <c r="H33" s="8"/>
      <c r="I33" s="9">
        <f>+[7]MTM!$O$46</f>
        <v>408092.17353500001</v>
      </c>
    </row>
    <row r="34" spans="1:11" hidden="1" outlineLevel="1" x14ac:dyDescent="0.25">
      <c r="A34" t="s">
        <v>4</v>
      </c>
      <c r="B34" s="5">
        <v>43249</v>
      </c>
      <c r="C34" s="6">
        <v>43430</v>
      </c>
      <c r="D34" s="6">
        <v>45072</v>
      </c>
      <c r="E34" s="7">
        <f>+[8]MTM!$I$44</f>
        <v>13194518.01</v>
      </c>
      <c r="F34" s="7">
        <f>+[8]MTM!$J$44</f>
        <v>12771647.140000001</v>
      </c>
      <c r="G34" s="8">
        <f>+[8]MTM!$K$44/100</f>
        <v>2.69E-2</v>
      </c>
      <c r="H34" s="8"/>
      <c r="I34" s="9">
        <f>+[8]MTM!$O$44</f>
        <v>725888.72642099997</v>
      </c>
    </row>
    <row r="35" spans="1:11" hidden="1" outlineLevel="1" x14ac:dyDescent="0.25">
      <c r="A35" t="s">
        <v>5</v>
      </c>
      <c r="B35" s="5">
        <v>43249</v>
      </c>
      <c r="C35" s="6">
        <v>43430</v>
      </c>
      <c r="D35" s="6">
        <v>50551</v>
      </c>
      <c r="E35" s="7">
        <f>+[8]MTM!$I$45</f>
        <v>21557728.260000002</v>
      </c>
      <c r="F35" s="7">
        <f>+[8]MTM!$J$45</f>
        <v>20923663.690000001</v>
      </c>
      <c r="G35" s="8">
        <f>+[8]MTM!$K$45/100</f>
        <v>2.9399999999999999E-2</v>
      </c>
      <c r="H35" s="8"/>
      <c r="I35" s="9">
        <f>+[8]MTM!$O$45</f>
        <v>4198905.0957779996</v>
      </c>
    </row>
    <row r="36" spans="1:11" ht="15.75" hidden="1" outlineLevel="1" thickBot="1" x14ac:dyDescent="0.3">
      <c r="B36" s="10"/>
      <c r="C36" s="11"/>
      <c r="D36" s="11"/>
      <c r="E36" s="12"/>
      <c r="F36" s="12"/>
      <c r="G36" s="12"/>
      <c r="H36" s="12"/>
      <c r="I36" s="13" t="e">
        <f>SUM(I29:I35)</f>
        <v>#REF!</v>
      </c>
    </row>
    <row r="37" spans="1:11" hidden="1" outlineLevel="1" x14ac:dyDescent="0.25"/>
    <row r="38" spans="1:11" hidden="1" outlineLevel="1" x14ac:dyDescent="0.25">
      <c r="A38" t="s">
        <v>7</v>
      </c>
      <c r="I38" s="20" t="e">
        <f>+I36-$I$11</f>
        <v>#REF!</v>
      </c>
      <c r="K38" s="20"/>
    </row>
    <row r="39" spans="1:11" hidden="1" outlineLevel="1" x14ac:dyDescent="0.25">
      <c r="A39" t="s">
        <v>8</v>
      </c>
      <c r="I39" s="20" t="e">
        <f>+I36-I22</f>
        <v>#REF!</v>
      </c>
    </row>
    <row r="40" spans="1:11" hidden="1" outlineLevel="1" x14ac:dyDescent="0.25"/>
    <row r="41" spans="1:11" hidden="1" outlineLevel="1" x14ac:dyDescent="0.25"/>
    <row r="42" spans="1:11" ht="15.75" hidden="1" outlineLevel="1" thickBot="1" x14ac:dyDescent="0.3">
      <c r="A42" t="s">
        <v>0</v>
      </c>
      <c r="B42" s="257">
        <v>44012</v>
      </c>
      <c r="C42" s="258"/>
      <c r="D42" s="258"/>
      <c r="E42" s="258"/>
      <c r="F42" s="258"/>
      <c r="G42" s="258"/>
      <c r="H42" s="258"/>
      <c r="I42" s="259"/>
    </row>
    <row r="43" spans="1:11" ht="30" hidden="1" outlineLevel="1" x14ac:dyDescent="0.25">
      <c r="B43" s="2" t="str">
        <f>+[1]MTM!$E$42</f>
        <v>Date de transaction</v>
      </c>
      <c r="C43" s="3" t="str">
        <f>+[1]MTM!$F$42</f>
        <v>Date de début</v>
      </c>
      <c r="D43" s="3" t="str">
        <f>+[1]MTM!$G$42</f>
        <v>Échéance</v>
      </c>
      <c r="E43" s="3" t="str">
        <f>+[1]MTM!$I$42</f>
        <v>Nominal initial du contrat</v>
      </c>
      <c r="F43" s="3" t="str">
        <f>+[1]MTM!$J$42</f>
        <v>Nominal restant</v>
      </c>
      <c r="G43" s="21" t="str">
        <f>+$G$3</f>
        <v>Taux Swap</v>
      </c>
      <c r="H43" s="21"/>
      <c r="I43" s="4" t="str">
        <f>+[1]MTM!$O$42</f>
        <v>Valeur indicative*</v>
      </c>
    </row>
    <row r="44" spans="1:11" hidden="1" outlineLevel="1" x14ac:dyDescent="0.25">
      <c r="A44" t="s">
        <v>1</v>
      </c>
      <c r="B44" s="5">
        <v>42821</v>
      </c>
      <c r="C44" s="6">
        <v>42821</v>
      </c>
      <c r="D44" s="6">
        <v>44281</v>
      </c>
      <c r="E44" s="7">
        <f>+E29</f>
        <v>766756</v>
      </c>
      <c r="F44" s="7">
        <f>+'[9]Des Pommetriers '!$D$52</f>
        <v>484326.08342378197</v>
      </c>
      <c r="G44" s="8">
        <v>1.49E-2</v>
      </c>
      <c r="H44" s="8"/>
      <c r="I44" s="9"/>
    </row>
    <row r="45" spans="1:11" hidden="1" outlineLevel="1" x14ac:dyDescent="0.25">
      <c r="A45" t="s">
        <v>2</v>
      </c>
      <c r="B45" s="5">
        <v>41061</v>
      </c>
      <c r="C45" s="6">
        <v>43430</v>
      </c>
      <c r="D45" s="6">
        <v>44526</v>
      </c>
      <c r="E45" s="7">
        <f t="shared" ref="E45:E50" si="1">+E30</f>
        <v>16834462</v>
      </c>
      <c r="F45" s="7">
        <v>16076844</v>
      </c>
      <c r="G45" s="8" t="e" cm="1">
        <f t="array" ref="G45">+[6]!TableIRD[Taux/ Rate]/100</f>
        <v>#REF!</v>
      </c>
      <c r="H45" s="8"/>
      <c r="I45" s="9" t="e" cm="1">
        <f t="array" ref="I45">+[10]!TableIRD[Valeur Indicative*/ Indicative Value *]</f>
        <v>#REF!</v>
      </c>
    </row>
    <row r="46" spans="1:11" hidden="1" outlineLevel="1" x14ac:dyDescent="0.25">
      <c r="A46" t="s">
        <v>3</v>
      </c>
      <c r="B46" s="5">
        <v>41514</v>
      </c>
      <c r="C46" s="6">
        <v>43434</v>
      </c>
      <c r="D46" s="6">
        <v>45442</v>
      </c>
      <c r="E46" s="7">
        <f t="shared" si="1"/>
        <v>7172462.8499999996</v>
      </c>
      <c r="F46" s="7">
        <f>+[11]MTM!$J$44</f>
        <v>6447111.8200000003</v>
      </c>
      <c r="G46" s="8">
        <f>+[7]MTM!$K$44/100</f>
        <v>3.4000000000000002E-2</v>
      </c>
      <c r="H46" s="8"/>
      <c r="I46" s="9">
        <f>+[11]MTM!$O$44</f>
        <v>583399.57435899996</v>
      </c>
    </row>
    <row r="47" spans="1:11" hidden="1" outlineLevel="1" x14ac:dyDescent="0.25">
      <c r="A47" t="s">
        <v>3</v>
      </c>
      <c r="B47" s="5">
        <v>41663</v>
      </c>
      <c r="C47" s="6">
        <v>43434</v>
      </c>
      <c r="D47" s="6">
        <v>45442</v>
      </c>
      <c r="E47" s="7">
        <f t="shared" si="1"/>
        <v>4402703.46</v>
      </c>
      <c r="F47" s="7">
        <f>+[11]MTM!$J$45</f>
        <v>3947443.21</v>
      </c>
      <c r="G47" s="8">
        <f>+[7]MTM!$K$45/100</f>
        <v>0.03</v>
      </c>
      <c r="H47" s="8"/>
      <c r="I47" s="9">
        <f>+[11]MTM!$O$45</f>
        <v>304134.14674599998</v>
      </c>
    </row>
    <row r="48" spans="1:11" hidden="1" outlineLevel="1" x14ac:dyDescent="0.25">
      <c r="A48" t="s">
        <v>3</v>
      </c>
      <c r="B48" s="5">
        <v>41716</v>
      </c>
      <c r="C48" s="6">
        <v>41789</v>
      </c>
      <c r="D48" s="6">
        <v>45442</v>
      </c>
      <c r="E48" s="7">
        <f t="shared" si="1"/>
        <v>7912500</v>
      </c>
      <c r="F48" s="7">
        <f>+[11]MTM!$J$46</f>
        <v>5664293.5599999996</v>
      </c>
      <c r="G48" s="8">
        <f>+[7]MTM!$K$46/100</f>
        <v>2.8999999999999998E-2</v>
      </c>
      <c r="H48" s="8"/>
      <c r="I48" s="9">
        <f>+[11]MTM!$O$46</f>
        <v>417479.71102599998</v>
      </c>
    </row>
    <row r="49" spans="1:17" hidden="1" outlineLevel="1" x14ac:dyDescent="0.25">
      <c r="A49" t="s">
        <v>4</v>
      </c>
      <c r="B49" s="5">
        <v>43249</v>
      </c>
      <c r="C49" s="6">
        <v>43430</v>
      </c>
      <c r="D49" s="6">
        <v>45072</v>
      </c>
      <c r="E49" s="7">
        <f t="shared" si="1"/>
        <v>13194518.01</v>
      </c>
      <c r="F49" s="7">
        <f>+[12]MTM!$J$44</f>
        <v>12690936.970000001</v>
      </c>
      <c r="G49" s="8">
        <f>+[8]MTM!$K$44/100</f>
        <v>2.69E-2</v>
      </c>
      <c r="H49" s="8"/>
      <c r="I49" s="9">
        <f>+[12]MTM!$O$44</f>
        <v>741853.46372500004</v>
      </c>
    </row>
    <row r="50" spans="1:17" hidden="1" outlineLevel="1" x14ac:dyDescent="0.25">
      <c r="A50" t="s">
        <v>5</v>
      </c>
      <c r="B50" s="5">
        <v>43249</v>
      </c>
      <c r="C50" s="6">
        <v>43430</v>
      </c>
      <c r="D50" s="6">
        <v>50551</v>
      </c>
      <c r="E50" s="7">
        <f t="shared" si="1"/>
        <v>21557728.260000002</v>
      </c>
      <c r="F50" s="7">
        <f>+[12]MTM!$J$45</f>
        <v>20802554.25</v>
      </c>
      <c r="G50" s="8">
        <f>+[8]MTM!$K$45/100</f>
        <v>2.9399999999999999E-2</v>
      </c>
      <c r="H50" s="8"/>
      <c r="I50" s="9">
        <f>+[12]MTM!$O$45</f>
        <v>4379258.2147519998</v>
      </c>
    </row>
    <row r="51" spans="1:17" ht="15.75" hidden="1" outlineLevel="1" thickBot="1" x14ac:dyDescent="0.3">
      <c r="B51" s="10"/>
      <c r="C51" s="11"/>
      <c r="D51" s="11"/>
      <c r="E51" s="12"/>
      <c r="F51" s="12"/>
      <c r="G51" s="12"/>
      <c r="H51" s="12"/>
      <c r="I51" s="13" t="e">
        <f>SUM(I44:I50)</f>
        <v>#REF!</v>
      </c>
    </row>
    <row r="52" spans="1:17" hidden="1" outlineLevel="1" x14ac:dyDescent="0.25"/>
    <row r="53" spans="1:17" hidden="1" outlineLevel="1" x14ac:dyDescent="0.25">
      <c r="A53" t="s">
        <v>7</v>
      </c>
      <c r="I53" s="20" t="e">
        <f>+I51-$I$11</f>
        <v>#REF!</v>
      </c>
    </row>
    <row r="54" spans="1:17" hidden="1" outlineLevel="1" x14ac:dyDescent="0.25">
      <c r="A54" t="s">
        <v>8</v>
      </c>
      <c r="I54" s="20" t="e">
        <f>+I51-I36</f>
        <v>#REF!</v>
      </c>
    </row>
    <row r="55" spans="1:17" hidden="1" outlineLevel="1" x14ac:dyDescent="0.25"/>
    <row r="56" spans="1:17" ht="15.75" collapsed="1" thickBot="1" x14ac:dyDescent="0.3"/>
    <row r="57" spans="1:17" ht="15.75" thickBot="1" x14ac:dyDescent="0.3">
      <c r="A57" t="s">
        <v>0</v>
      </c>
      <c r="B57" s="257" t="s">
        <v>73</v>
      </c>
      <c r="C57" s="258"/>
      <c r="D57" s="258"/>
      <c r="E57" s="258"/>
      <c r="F57" s="258"/>
      <c r="G57" s="258"/>
      <c r="H57" s="258"/>
      <c r="I57" s="259"/>
    </row>
    <row r="58" spans="1:17" ht="45" x14ac:dyDescent="0.25">
      <c r="A58" s="24" t="s">
        <v>18</v>
      </c>
      <c r="B58" s="26" t="str">
        <f>+[1]MTM!$E$42</f>
        <v>Date de transaction</v>
      </c>
      <c r="C58" s="21" t="str">
        <f>+[1]MTM!$F$42</f>
        <v>Date de début</v>
      </c>
      <c r="D58" s="21" t="str">
        <f>+[1]MTM!$G$42</f>
        <v>Échéance</v>
      </c>
      <c r="E58" s="3" t="str">
        <f>+[1]MTM!$I$42</f>
        <v>Nominal initial du contrat</v>
      </c>
      <c r="F58" s="3" t="str">
        <f>+[1]MTM!$J$42</f>
        <v>Nominal restant</v>
      </c>
      <c r="G58" s="21" t="str">
        <f>+$G$3</f>
        <v>Taux Swap</v>
      </c>
      <c r="H58" s="21" t="s">
        <v>72</v>
      </c>
      <c r="I58" s="28" t="str">
        <f>+[1]MTM!$O$42</f>
        <v>Valeur indicative*</v>
      </c>
      <c r="K58" s="21" t="s">
        <v>55</v>
      </c>
      <c r="L58" s="21" t="s">
        <v>15</v>
      </c>
      <c r="M58" s="21" t="s">
        <v>16</v>
      </c>
      <c r="O58" t="s">
        <v>32</v>
      </c>
      <c r="Q58" s="94" t="s">
        <v>77</v>
      </c>
    </row>
    <row r="59" spans="1:17" x14ac:dyDescent="0.25">
      <c r="A59" s="27"/>
      <c r="B59" s="5"/>
      <c r="C59" s="6"/>
      <c r="D59" s="6"/>
      <c r="E59" s="7"/>
      <c r="F59" s="7"/>
      <c r="G59" s="32"/>
      <c r="H59" s="32"/>
      <c r="I59" s="9"/>
      <c r="K59" s="23"/>
      <c r="L59" s="25"/>
      <c r="M59" s="33"/>
      <c r="O59" s="23"/>
    </row>
    <row r="60" spans="1:17" x14ac:dyDescent="0.25">
      <c r="A60" s="27"/>
      <c r="B60" s="5"/>
      <c r="C60" s="6"/>
      <c r="D60" s="6"/>
      <c r="E60" s="71"/>
      <c r="F60" s="71"/>
      <c r="G60" s="72"/>
      <c r="H60" s="72"/>
      <c r="I60" s="73"/>
      <c r="K60" s="23"/>
      <c r="L60" s="74"/>
      <c r="M60" s="33"/>
      <c r="O60" s="23"/>
    </row>
    <row r="61" spans="1:17" x14ac:dyDescent="0.25">
      <c r="A61" s="27" t="s">
        <v>3</v>
      </c>
      <c r="B61" s="5">
        <v>41514</v>
      </c>
      <c r="C61" s="6">
        <v>43434</v>
      </c>
      <c r="D61" s="49">
        <v>45442</v>
      </c>
      <c r="E61" s="7">
        <f t="shared" ref="E61:E65" si="2">+E46</f>
        <v>7172462.8499999996</v>
      </c>
      <c r="F61" s="7">
        <v>5294740.74</v>
      </c>
      <c r="G61" s="32">
        <f>+[7]MTM!$K$44/100</f>
        <v>3.4000000000000002E-2</v>
      </c>
      <c r="H61" s="32">
        <v>2.4500000000000001E-2</v>
      </c>
      <c r="I61" s="9">
        <v>-84992.4</v>
      </c>
      <c r="J61" t="s">
        <v>69</v>
      </c>
      <c r="K61" s="23" t="s">
        <v>14</v>
      </c>
      <c r="L61" s="25" t="s">
        <v>37</v>
      </c>
      <c r="M61" s="48">
        <v>45443</v>
      </c>
      <c r="N61" t="s">
        <v>21</v>
      </c>
      <c r="O61" s="23" t="s">
        <v>29</v>
      </c>
      <c r="Q61" s="96">
        <v>4.8724999999999997E-2</v>
      </c>
    </row>
    <row r="62" spans="1:17" x14ac:dyDescent="0.25">
      <c r="A62" s="27" t="s">
        <v>3</v>
      </c>
      <c r="B62" s="5">
        <v>41663</v>
      </c>
      <c r="C62" s="6">
        <v>43434</v>
      </c>
      <c r="D62" s="49">
        <v>45442</v>
      </c>
      <c r="E62" s="7">
        <f t="shared" si="2"/>
        <v>4402703.46</v>
      </c>
      <c r="F62" s="7">
        <v>3229653.23</v>
      </c>
      <c r="G62" s="32">
        <f>+[7]MTM!$K$45/100</f>
        <v>0.03</v>
      </c>
      <c r="H62" s="32">
        <f>+H61</f>
        <v>2.4500000000000001E-2</v>
      </c>
      <c r="I62" s="9">
        <v>-67733.5</v>
      </c>
      <c r="J62" t="s">
        <v>69</v>
      </c>
      <c r="K62" s="23" t="s">
        <v>14</v>
      </c>
      <c r="L62" s="25" t="str">
        <f>+L61</f>
        <v>20 mois</v>
      </c>
      <c r="M62" s="48">
        <f>+M61</f>
        <v>45443</v>
      </c>
      <c r="N62" t="s">
        <v>21</v>
      </c>
      <c r="O62" s="23" t="s">
        <v>29</v>
      </c>
      <c r="Q62" s="95">
        <f>+Q61</f>
        <v>4.8724999999999997E-2</v>
      </c>
    </row>
    <row r="63" spans="1:17" x14ac:dyDescent="0.25">
      <c r="A63" s="27" t="s">
        <v>3</v>
      </c>
      <c r="B63" s="5">
        <v>41716</v>
      </c>
      <c r="C63" s="6">
        <v>41789</v>
      </c>
      <c r="D63" s="49">
        <v>45442</v>
      </c>
      <c r="E63" s="7">
        <f t="shared" si="2"/>
        <v>7912500</v>
      </c>
      <c r="F63" s="7">
        <v>4629570.2300000004</v>
      </c>
      <c r="G63" s="32">
        <f>+[7]MTM!$K$46/100</f>
        <v>2.8999999999999998E-2</v>
      </c>
      <c r="H63" s="32">
        <f>+H61</f>
        <v>2.4500000000000001E-2</v>
      </c>
      <c r="I63" s="9">
        <v>-102779.71</v>
      </c>
      <c r="J63" t="s">
        <v>69</v>
      </c>
      <c r="K63" s="23" t="s">
        <v>14</v>
      </c>
      <c r="L63" s="25" t="str">
        <f>+L61</f>
        <v>20 mois</v>
      </c>
      <c r="M63" s="48">
        <f>+M62</f>
        <v>45443</v>
      </c>
      <c r="N63" t="s">
        <v>21</v>
      </c>
      <c r="O63" s="23" t="s">
        <v>29</v>
      </c>
      <c r="Q63" s="95">
        <v>4.7375E-2</v>
      </c>
    </row>
    <row r="64" spans="1:17" x14ac:dyDescent="0.25">
      <c r="A64" s="27" t="s">
        <v>4</v>
      </c>
      <c r="B64" s="5">
        <v>43249</v>
      </c>
      <c r="C64" s="6">
        <v>43430</v>
      </c>
      <c r="D64" s="50">
        <v>45072</v>
      </c>
      <c r="E64" s="7">
        <f t="shared" si="2"/>
        <v>13194518.01</v>
      </c>
      <c r="F64" s="7">
        <v>11914297.369999999</v>
      </c>
      <c r="G64" s="32">
        <f>+[8]MTM!$K$44/100</f>
        <v>2.69E-2</v>
      </c>
      <c r="H64" s="32">
        <v>2.2499999999999999E-2</v>
      </c>
      <c r="I64" s="9">
        <v>-102993.98</v>
      </c>
      <c r="J64" t="s">
        <v>69</v>
      </c>
      <c r="K64" s="23" t="s">
        <v>36</v>
      </c>
      <c r="L64" s="25" t="s">
        <v>53</v>
      </c>
      <c r="M64" s="51">
        <v>45281</v>
      </c>
      <c r="N64" t="s">
        <v>24</v>
      </c>
      <c r="O64" s="23" t="s">
        <v>31</v>
      </c>
      <c r="Q64" s="95">
        <v>4.7050000000000002E-2</v>
      </c>
    </row>
    <row r="65" spans="1:17" x14ac:dyDescent="0.25">
      <c r="A65" s="27" t="s">
        <v>5</v>
      </c>
      <c r="B65" s="5">
        <v>43249</v>
      </c>
      <c r="C65" s="6">
        <v>43430</v>
      </c>
      <c r="D65" s="50">
        <v>50551</v>
      </c>
      <c r="E65" s="7">
        <f t="shared" si="2"/>
        <v>21557728.260000002</v>
      </c>
      <c r="F65" s="7">
        <v>19624823.02</v>
      </c>
      <c r="G65" s="32">
        <f>+[8]MTM!$K$45/100</f>
        <v>2.9399999999999999E-2</v>
      </c>
      <c r="H65" s="32">
        <v>2.2499999999999999E-2</v>
      </c>
      <c r="I65" s="9">
        <v>-1486949.73</v>
      </c>
      <c r="J65" t="s">
        <v>69</v>
      </c>
      <c r="K65" s="23" t="s">
        <v>36</v>
      </c>
      <c r="L65" s="25" t="s">
        <v>54</v>
      </c>
      <c r="M65" s="51">
        <v>45281</v>
      </c>
      <c r="N65" t="s">
        <v>24</v>
      </c>
      <c r="O65" s="23" t="s">
        <v>31</v>
      </c>
      <c r="Q65" s="95">
        <f>+Q64</f>
        <v>4.7050000000000002E-2</v>
      </c>
    </row>
    <row r="66" spans="1:17" x14ac:dyDescent="0.25">
      <c r="A66" s="27" t="s">
        <v>51</v>
      </c>
      <c r="B66" s="58" t="s">
        <v>52</v>
      </c>
      <c r="C66" s="6">
        <v>44620</v>
      </c>
      <c r="D66" s="50">
        <v>48270</v>
      </c>
      <c r="E66" s="7">
        <v>24700000</v>
      </c>
      <c r="F66" s="7">
        <v>24383281.190000001</v>
      </c>
      <c r="G66" s="59">
        <v>2.5325E-2</v>
      </c>
      <c r="H66" s="59">
        <v>2.2499999999999999E-2</v>
      </c>
      <c r="I66" s="9">
        <v>-1954867.52</v>
      </c>
      <c r="J66" t="s">
        <v>69</v>
      </c>
      <c r="K66" s="23"/>
      <c r="L66" s="25" t="s">
        <v>58</v>
      </c>
      <c r="M66" s="51">
        <f>+M65</f>
        <v>45281</v>
      </c>
      <c r="N66" t="s">
        <v>24</v>
      </c>
      <c r="O66" s="23" t="s">
        <v>31</v>
      </c>
      <c r="Q66" s="95">
        <v>4.8774999999999999E-2</v>
      </c>
    </row>
    <row r="67" spans="1:17" x14ac:dyDescent="0.25">
      <c r="A67" s="27" t="s">
        <v>51</v>
      </c>
      <c r="B67" s="58" t="str">
        <f>+B66</f>
        <v>2022--02-16</v>
      </c>
      <c r="C67" s="6">
        <f>+C66</f>
        <v>44620</v>
      </c>
      <c r="D67" s="50">
        <v>46444</v>
      </c>
      <c r="E67" s="7">
        <v>10000000</v>
      </c>
      <c r="F67" s="7">
        <v>9890994</v>
      </c>
      <c r="G67" s="32">
        <v>2.3599999999999999E-2</v>
      </c>
      <c r="H67" s="32">
        <v>2.2499999999999999E-2</v>
      </c>
      <c r="I67" s="73">
        <v>4366760</v>
      </c>
      <c r="J67" t="s">
        <v>76</v>
      </c>
      <c r="K67" s="23"/>
      <c r="L67" s="25" t="s">
        <v>59</v>
      </c>
      <c r="M67" s="51">
        <f>+M66</f>
        <v>45281</v>
      </c>
      <c r="N67" t="s">
        <v>24</v>
      </c>
      <c r="O67" s="23" t="s">
        <v>31</v>
      </c>
      <c r="Q67" s="95">
        <v>6.9500000000000006E-2</v>
      </c>
    </row>
    <row r="68" spans="1:17" x14ac:dyDescent="0.25">
      <c r="A68" s="27" t="s">
        <v>51</v>
      </c>
      <c r="B68" s="58" t="str">
        <f>+B66</f>
        <v>2022--02-16</v>
      </c>
      <c r="C68" s="6">
        <f>+C66</f>
        <v>44620</v>
      </c>
      <c r="D68" s="50">
        <v>50097</v>
      </c>
      <c r="E68" s="7">
        <v>10000000</v>
      </c>
      <c r="F68" s="7">
        <v>9894763</v>
      </c>
      <c r="G68" s="32">
        <v>2.6030000000000001E-2</v>
      </c>
      <c r="H68" s="32">
        <v>2.2499999999999999E-2</v>
      </c>
      <c r="I68" s="73">
        <v>1656370.27</v>
      </c>
      <c r="J68" t="s">
        <v>76</v>
      </c>
      <c r="K68" s="23"/>
      <c r="L68" s="25" t="s">
        <v>60</v>
      </c>
      <c r="M68" s="51">
        <f>+M67</f>
        <v>45281</v>
      </c>
      <c r="N68" t="s">
        <v>24</v>
      </c>
      <c r="O68" s="23" t="s">
        <v>40</v>
      </c>
      <c r="Q68" s="95">
        <v>6.9500000000000006E-2</v>
      </c>
    </row>
    <row r="69" spans="1:17" x14ac:dyDescent="0.25">
      <c r="A69" s="76" t="s">
        <v>2</v>
      </c>
      <c r="B69" s="77">
        <v>44895</v>
      </c>
      <c r="C69" s="78">
        <v>44891</v>
      </c>
      <c r="D69" s="78">
        <v>48547</v>
      </c>
      <c r="E69" s="79">
        <v>5000000</v>
      </c>
      <c r="F69" s="79">
        <f>+E69</f>
        <v>5000000</v>
      </c>
      <c r="G69" s="88">
        <v>3.6819999999999999E-2</v>
      </c>
      <c r="H69" s="88">
        <v>1.7999999999999999E-2</v>
      </c>
      <c r="I69" s="65"/>
      <c r="J69" s="82" t="s">
        <v>69</v>
      </c>
      <c r="K69" s="83" t="s">
        <v>63</v>
      </c>
      <c r="L69" s="84" t="s">
        <v>67</v>
      </c>
      <c r="M69" s="85">
        <v>48547</v>
      </c>
      <c r="N69" s="82" t="s">
        <v>21</v>
      </c>
      <c r="O69" s="83" t="s">
        <v>28</v>
      </c>
      <c r="Q69" s="97">
        <v>4.7050000000000002E-2</v>
      </c>
    </row>
    <row r="70" spans="1:17" ht="15.75" thickBot="1" x14ac:dyDescent="0.3">
      <c r="A70" s="76" t="s">
        <v>2</v>
      </c>
      <c r="B70" s="77">
        <v>44895</v>
      </c>
      <c r="C70" s="78">
        <v>44891</v>
      </c>
      <c r="D70" s="78">
        <v>48547</v>
      </c>
      <c r="E70" s="79">
        <v>9644992</v>
      </c>
      <c r="F70" s="79">
        <f>+E70</f>
        <v>9644992</v>
      </c>
      <c r="G70" s="88">
        <v>3.5310000000000001E-2</v>
      </c>
      <c r="H70" s="88">
        <v>1.7999999999999999E-2</v>
      </c>
      <c r="I70" s="65"/>
      <c r="J70" s="82" t="s">
        <v>69</v>
      </c>
      <c r="K70" s="83" t="s">
        <v>63</v>
      </c>
      <c r="L70" s="84" t="s">
        <v>67</v>
      </c>
      <c r="M70" s="85">
        <v>48547</v>
      </c>
      <c r="N70" s="82" t="s">
        <v>21</v>
      </c>
      <c r="O70" s="83" t="s">
        <v>28</v>
      </c>
      <c r="Q70" s="97">
        <v>4.7050000000000002E-2</v>
      </c>
    </row>
    <row r="71" spans="1:17" ht="15.75" thickBot="1" x14ac:dyDescent="0.3">
      <c r="B71" s="36"/>
      <c r="D71" s="37"/>
      <c r="E71" s="38">
        <f>SUM(E59:E70)</f>
        <v>113584904.58</v>
      </c>
      <c r="F71" s="38">
        <f>SUM(F59:F70)</f>
        <v>103507114.78</v>
      </c>
      <c r="G71" s="37"/>
      <c r="H71" s="37"/>
      <c r="I71" s="39"/>
      <c r="M71" s="23"/>
      <c r="O71" s="23"/>
    </row>
    <row r="72" spans="1:17" ht="15.75" thickBot="1" x14ac:dyDescent="0.3">
      <c r="B72" s="2"/>
      <c r="E72" s="20"/>
      <c r="F72" s="56">
        <f>+F71/F82</f>
        <v>0.71828596950225099</v>
      </c>
      <c r="I72" s="41">
        <f>SUM(I61:I71)</f>
        <v>2222813.4300000002</v>
      </c>
      <c r="M72" s="23"/>
      <c r="O72" s="23"/>
    </row>
    <row r="73" spans="1:17" ht="33.75" customHeight="1" x14ac:dyDescent="0.25">
      <c r="A73" s="24" t="s">
        <v>19</v>
      </c>
      <c r="B73" s="2"/>
      <c r="E73" s="23" t="s">
        <v>39</v>
      </c>
      <c r="F73" s="23" t="s">
        <v>25</v>
      </c>
      <c r="G73" s="260" t="s">
        <v>64</v>
      </c>
      <c r="H73" s="260"/>
      <c r="I73" s="261"/>
      <c r="M73" s="23"/>
      <c r="O73" s="23"/>
    </row>
    <row r="74" spans="1:17" x14ac:dyDescent="0.25">
      <c r="A74" s="27" t="s">
        <v>17</v>
      </c>
      <c r="B74" s="2"/>
      <c r="C74" s="262">
        <v>35000000</v>
      </c>
      <c r="D74" s="6"/>
      <c r="E74" s="42"/>
      <c r="F74" s="42">
        <v>7700000</v>
      </c>
      <c r="G74" s="263" t="s">
        <v>65</v>
      </c>
      <c r="H74" s="263"/>
      <c r="I74" s="264"/>
      <c r="L74" s="23" t="s">
        <v>26</v>
      </c>
      <c r="M74" s="33">
        <v>45281</v>
      </c>
      <c r="N74" t="s">
        <v>24</v>
      </c>
      <c r="O74" s="23" t="s">
        <v>61</v>
      </c>
    </row>
    <row r="75" spans="1:17" x14ac:dyDescent="0.25">
      <c r="A75" s="27" t="s">
        <v>17</v>
      </c>
      <c r="B75" s="2"/>
      <c r="C75" s="262"/>
      <c r="D75" s="6"/>
      <c r="E75" s="42"/>
      <c r="F75" s="42">
        <v>20835000</v>
      </c>
      <c r="G75" s="263" t="s">
        <v>65</v>
      </c>
      <c r="H75" s="263"/>
      <c r="I75" s="264"/>
      <c r="L75" s="23" t="s">
        <v>26</v>
      </c>
      <c r="M75" s="33">
        <v>45281</v>
      </c>
      <c r="N75" t="s">
        <v>24</v>
      </c>
      <c r="O75" s="23" t="s">
        <v>61</v>
      </c>
    </row>
    <row r="76" spans="1:17" x14ac:dyDescent="0.25">
      <c r="A76" s="27" t="s">
        <v>78</v>
      </c>
      <c r="B76" s="2"/>
      <c r="C76" s="92"/>
      <c r="D76" s="6"/>
      <c r="E76" s="42">
        <v>6857172</v>
      </c>
      <c r="F76" s="42">
        <v>2952818</v>
      </c>
      <c r="G76" s="23" t="s">
        <v>79</v>
      </c>
      <c r="H76" s="99">
        <v>2.4500000000000001E-2</v>
      </c>
      <c r="I76" s="93"/>
      <c r="L76" s="23"/>
      <c r="M76" s="33"/>
      <c r="O76" s="23"/>
    </row>
    <row r="77" spans="1:17" x14ac:dyDescent="0.25">
      <c r="A77" s="27" t="s">
        <v>20</v>
      </c>
      <c r="B77" s="5">
        <v>43374</v>
      </c>
      <c r="C77" s="42"/>
      <c r="D77" s="6"/>
      <c r="E77" s="42">
        <v>10800000</v>
      </c>
      <c r="F77" s="42">
        <v>9108000</v>
      </c>
      <c r="G77" s="70">
        <v>2.2499999999999999E-2</v>
      </c>
      <c r="H77" s="70"/>
      <c r="I77" s="89" t="s">
        <v>70</v>
      </c>
      <c r="L77" s="23" t="s">
        <v>26</v>
      </c>
      <c r="M77" s="33">
        <v>45281</v>
      </c>
      <c r="N77" t="s">
        <v>24</v>
      </c>
      <c r="O77" s="23" t="s">
        <v>31</v>
      </c>
    </row>
    <row r="78" spans="1:17" x14ac:dyDescent="0.25">
      <c r="A78" s="98" t="s">
        <v>2</v>
      </c>
      <c r="B78" s="77"/>
      <c r="C78" s="78"/>
      <c r="D78" s="78"/>
      <c r="E78" s="79"/>
      <c r="F78" s="79"/>
      <c r="G78" s="86"/>
      <c r="H78" s="86"/>
      <c r="I78" s="81"/>
      <c r="J78" s="82"/>
      <c r="K78" s="83"/>
      <c r="L78" s="84"/>
      <c r="M78" s="85"/>
      <c r="N78" s="82"/>
      <c r="O78" s="83"/>
    </row>
    <row r="79" spans="1:17" x14ac:dyDescent="0.25">
      <c r="A79" s="27"/>
      <c r="B79" s="5"/>
      <c r="C79" s="42"/>
      <c r="E79" s="42"/>
      <c r="F79" s="42"/>
      <c r="G79" s="87"/>
      <c r="H79" s="87"/>
      <c r="I79" s="40"/>
      <c r="L79" s="23"/>
      <c r="M79" s="33"/>
      <c r="O79" s="83"/>
    </row>
    <row r="80" spans="1:17" ht="15.75" thickBot="1" x14ac:dyDescent="0.3">
      <c r="B80" s="43"/>
      <c r="C80" s="34"/>
      <c r="D80" s="34"/>
      <c r="E80" s="35">
        <f>SUM(E74:E79)</f>
        <v>17657172</v>
      </c>
      <c r="F80" s="35">
        <f>SUM(F74:F79)</f>
        <v>40595818</v>
      </c>
      <c r="G80" s="34"/>
      <c r="H80" s="34"/>
      <c r="I80" s="44"/>
      <c r="M80" s="23"/>
    </row>
    <row r="81" spans="1:13" ht="15.75" thickBot="1" x14ac:dyDescent="0.3">
      <c r="B81" s="2"/>
      <c r="F81" s="56">
        <f>+F80/F82</f>
        <v>0.28171403049774901</v>
      </c>
      <c r="I81" s="40"/>
      <c r="M81" s="23"/>
    </row>
    <row r="82" spans="1:13" ht="15.75" thickBot="1" x14ac:dyDescent="0.3">
      <c r="A82" s="29" t="s">
        <v>23</v>
      </c>
      <c r="B82" s="45"/>
      <c r="C82" s="30"/>
      <c r="D82" s="30"/>
      <c r="E82" s="31">
        <f>+E71+E80</f>
        <v>131242076.58</v>
      </c>
      <c r="F82" s="57">
        <f>+F71+F80</f>
        <v>144102932.78</v>
      </c>
      <c r="G82" s="30"/>
      <c r="H82" s="30"/>
      <c r="I82" s="46"/>
    </row>
    <row r="83" spans="1:13" ht="15.75" thickTop="1" x14ac:dyDescent="0.25">
      <c r="B83" s="2"/>
      <c r="I83" s="40"/>
    </row>
    <row r="84" spans="1:13" ht="15.75" thickBot="1" x14ac:dyDescent="0.3">
      <c r="B84" s="10"/>
      <c r="C84" s="11"/>
      <c r="D84" s="11"/>
      <c r="E84" s="11"/>
      <c r="F84" s="11"/>
      <c r="G84" s="11"/>
      <c r="H84" s="11"/>
      <c r="I84" s="47"/>
    </row>
    <row r="86" spans="1:13" x14ac:dyDescent="0.25">
      <c r="A86" s="53" t="s">
        <v>42</v>
      </c>
      <c r="B86" s="54"/>
    </row>
    <row r="87" spans="1:13" x14ac:dyDescent="0.25">
      <c r="A87" s="52" t="s">
        <v>43</v>
      </c>
      <c r="B87" s="55"/>
    </row>
    <row r="88" spans="1:13" x14ac:dyDescent="0.25">
      <c r="B88" s="22"/>
    </row>
    <row r="89" spans="1:13" x14ac:dyDescent="0.25">
      <c r="A89" t="s">
        <v>56</v>
      </c>
      <c r="B89" s="75">
        <f>+F72</f>
        <v>0.71828596950225099</v>
      </c>
      <c r="C89" t="s">
        <v>66</v>
      </c>
    </row>
    <row r="90" spans="1:13" x14ac:dyDescent="0.25">
      <c r="B90" s="22"/>
    </row>
    <row r="91" spans="1:13" x14ac:dyDescent="0.25">
      <c r="A91" t="s">
        <v>62</v>
      </c>
    </row>
    <row r="92" spans="1:13" x14ac:dyDescent="0.25">
      <c r="B92" s="22"/>
    </row>
  </sheetData>
  <mergeCells count="9">
    <mergeCell ref="C74:C75"/>
    <mergeCell ref="G74:I74"/>
    <mergeCell ref="G75:I75"/>
    <mergeCell ref="B2:I2"/>
    <mergeCell ref="B13:I13"/>
    <mergeCell ref="B27:I27"/>
    <mergeCell ref="B42:I42"/>
    <mergeCell ref="B57:I57"/>
    <mergeCell ref="G73:I73"/>
  </mergeCells>
  <phoneticPr fontId="7" type="noConversion"/>
  <pageMargins left="0.70866141732283472" right="0.70866141732283472" top="0.74803149606299213" bottom="0.74803149606299213" header="0.31496062992125984" footer="0.31496062992125984"/>
  <pageSetup scale="54" orientation="landscape" r:id="rId1"/>
  <headerFooter>
    <oddFooter>&amp;L&amp;Z
&amp;F&amp;C&amp;A&amp;R&amp;D
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12</vt:i4>
      </vt:variant>
    </vt:vector>
  </HeadingPairs>
  <TitlesOfParts>
    <vt:vector size="24" baseType="lpstr">
      <vt:lpstr>2025-06-30</vt:lpstr>
      <vt:lpstr>2025-03-31</vt:lpstr>
      <vt:lpstr>2024-12-31</vt:lpstr>
      <vt:lpstr>2024-09-30</vt:lpstr>
      <vt:lpstr>2024-07-31</vt:lpstr>
      <vt:lpstr>2024-06-30</vt:lpstr>
      <vt:lpstr>2023-06-05</vt:lpstr>
      <vt:lpstr>2023-03-16</vt:lpstr>
      <vt:lpstr>30-12-2022</vt:lpstr>
      <vt:lpstr>30-11-2022</vt:lpstr>
      <vt:lpstr> 17-10--2022</vt:lpstr>
      <vt:lpstr>30-09-2021</vt:lpstr>
      <vt:lpstr>' 17-10--2022'!Zone_d_impression</vt:lpstr>
      <vt:lpstr>'2023-03-16'!Zone_d_impression</vt:lpstr>
      <vt:lpstr>'2023-06-05'!Zone_d_impression</vt:lpstr>
      <vt:lpstr>'2024-06-30'!Zone_d_impression</vt:lpstr>
      <vt:lpstr>'2024-07-31'!Zone_d_impression</vt:lpstr>
      <vt:lpstr>'2024-09-30'!Zone_d_impression</vt:lpstr>
      <vt:lpstr>'2024-12-31'!Zone_d_impression</vt:lpstr>
      <vt:lpstr>'2025-03-31'!Zone_d_impression</vt:lpstr>
      <vt:lpstr>'2025-06-30'!Zone_d_impression</vt:lpstr>
      <vt:lpstr>'30-09-2021'!Zone_d_impression</vt:lpstr>
      <vt:lpstr>'30-11-2022'!Zone_d_impression</vt:lpstr>
      <vt:lpstr>'30-12-2022'!Zone_d_impression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Johanne Brien</dc:creator>
  <cp:lastModifiedBy>MEGEMONT Anne</cp:lastModifiedBy>
  <cp:lastPrinted>2023-04-25T20:47:38Z</cp:lastPrinted>
  <dcterms:created xsi:type="dcterms:W3CDTF">2020-03-04T16:05:49Z</dcterms:created>
  <dcterms:modified xsi:type="dcterms:W3CDTF">2025-07-04T16:08:41Z</dcterms:modified>
</cp:coreProperties>
</file>