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:\Groupe\SRS\Direction_Finance\REPORTING CONSOLIDATION\2025\ENDETTEMENT\JUIN\COUVERTURE\"/>
    </mc:Choice>
  </mc:AlternateContent>
  <xr:revisionPtr revIDLastSave="0" documentId="13_ncr:1_{8FD254B7-A249-497B-90BF-DDFE78FD51A2}" xr6:coauthVersionLast="47" xr6:coauthVersionMax="47" xr10:uidLastSave="{00000000-0000-0000-0000-000000000000}"/>
  <bookViews>
    <workbookView xWindow="-14835" yWindow="-16320" windowWidth="29040" windowHeight="15840" tabRatio="665" xr2:uid="{00000000-000D-0000-FFFF-FFFF00000000}"/>
  </bookViews>
  <sheets>
    <sheet name="INSTRUMENTS DE COUVERTURE" sheetId="5" r:id="rId1"/>
    <sheet name="Tx de change" sheetId="1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\0">#REF!</definedName>
    <definedName name="\b">#REF!</definedName>
    <definedName name="\e">#REF!</definedName>
    <definedName name="\i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w">#REF!</definedName>
    <definedName name="\x">#REF!</definedName>
    <definedName name="\z">#REF!</definedName>
    <definedName name="___del26">#REF!</definedName>
    <definedName name="__del26">#REF!</definedName>
    <definedName name="__FDS_HYPERLINK_TOGGLE_STATE__" hidden="1">"ON"</definedName>
    <definedName name="_bdm.1F3930A292834C82AE25D71A427495AA.edm" hidden="1">#REF!</definedName>
    <definedName name="_bdm.E0E51DEDFC054D61A794435991C8188A.edm" hidden="1">#REF!</definedName>
    <definedName name="_DEL18">#REF!</definedName>
    <definedName name="_DEL19">#REF!</definedName>
    <definedName name="_DEL20">#REF!</definedName>
    <definedName name="_DEL21">#REF!</definedName>
    <definedName name="_DEL22">#REF!</definedName>
    <definedName name="_DEL23">#REF!</definedName>
    <definedName name="_DEL24">#REF!</definedName>
    <definedName name="_DEL25">#REF!</definedName>
    <definedName name="_DEL26">#REF!</definedName>
    <definedName name="_DEL27">#REF!</definedName>
    <definedName name="_DEL28">#REF!</definedName>
    <definedName name="_DEL29">#REF!</definedName>
    <definedName name="_DEL30">#REF!</definedName>
    <definedName name="_DEL31">#REF!</definedName>
    <definedName name="_DEL32">#REF!</definedName>
    <definedName name="_DEL33">#REF!</definedName>
    <definedName name="_DEL34">#REF!</definedName>
    <definedName name="_DEL35">#REF!</definedName>
    <definedName name="_DEL36">#REF!</definedName>
    <definedName name="_DEL37">#REF!</definedName>
    <definedName name="_Dist_Values" hidden="1">#REF!</definedName>
    <definedName name="_EBR1">#REF!</definedName>
    <definedName name="_EBR2">#REF!</definedName>
    <definedName name="_EBR3">#REF!</definedName>
    <definedName name="_Fill" hidden="1">#REF!</definedName>
    <definedName name="_Order1" hidden="1">0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tr2">[1]Param!$B$3</definedName>
    <definedName name="A">#REF!</definedName>
    <definedName name="aa">[2]Data!$B$1</definedName>
    <definedName name="AGAINX">#REF!</definedName>
    <definedName name="AGAINY">#REF!</definedName>
    <definedName name="AM">#REF!</definedName>
    <definedName name="an_2005_2006">#REF!</definedName>
    <definedName name="An_Courante">'[3]Dates Périodes'!$AE$35</definedName>
    <definedName name="An_Préc">'[3]Dates Périodes'!$AE$45</definedName>
    <definedName name="Annuel">[4]Param!$D$10</definedName>
    <definedName name="Appendices">#REF!</definedName>
    <definedName name="Appendix1">#REF!</definedName>
    <definedName name="Appendix2">#REF!</definedName>
    <definedName name="Appendix3">#REF!</definedName>
    <definedName name="Appendix4">#REF!</definedName>
    <definedName name="Appendix5">#REF!</definedName>
    <definedName name="AROW">#REF!</definedName>
    <definedName name="AROW1">#REF!</definedName>
    <definedName name="AROW2">#REF!</definedName>
    <definedName name="AROW3">#REF!</definedName>
    <definedName name="AROW4">#REF!</definedName>
    <definedName name="AROW5">#REF!</definedName>
    <definedName name="AS2DocOpenMode" hidden="1">"AS2DocumentEdit"</definedName>
    <definedName name="au_Cumul">'[3]Dates Périodes'!$AE$42</definedName>
    <definedName name="au_Per">'[3]Dates Périodes'!$AE$38</definedName>
    <definedName name="BEV">#REF!</definedName>
    <definedName name="BR">#REF!</definedName>
    <definedName name="CANCEL">#REF!</definedName>
    <definedName name="CHANGE">#REF!</definedName>
    <definedName name="CODE" localSheetId="0">[5]LISTE!$B$3:$B$202</definedName>
    <definedName name="CODE">#REF!</definedName>
    <definedName name="COMPANY_NAME">#REF!</definedName>
    <definedName name="COST">#REF!</definedName>
    <definedName name="CREATE1">#REF!</definedName>
    <definedName name="CREATE2">#REF!</definedName>
    <definedName name="CREATE3">#REF!</definedName>
    <definedName name="CSUB1">#REF!</definedName>
    <definedName name="CSUB2">#REF!</definedName>
    <definedName name="CSUB3">#REF!</definedName>
    <definedName name="CSUB4">#REF!</definedName>
    <definedName name="DATE1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e">#REF!</definedName>
    <definedName name="DOAGAIN">#REF!</definedName>
    <definedName name="du_Cumul">'[3]Dates Périodes'!$AE$41</definedName>
    <definedName name="du_Per">'[3]Dates Périodes'!$AE$37</definedName>
    <definedName name="Dupont_ES">#REF!</definedName>
    <definedName name="ECRAN_FR_EN">#REF!</definedName>
    <definedName name="Employés_régulier">'[6]Salaires saisie données'!#REF!</definedName>
    <definedName name="Employés_supplémentaire">'[6]Salaires saisie données'!#REF!</definedName>
    <definedName name="ERRMENU">#REF!</definedName>
    <definedName name="EVA">#REF!</definedName>
    <definedName name="EVM">#REF!</definedName>
    <definedName name="F">#REF!</definedName>
    <definedName name="FILE">#REF!</definedName>
    <definedName name="FO">#REF!</definedName>
    <definedName name="FOPP">#REF!</definedName>
    <definedName name="FR_EN">#REF!</definedName>
    <definedName name="FSUB1">#REF!</definedName>
    <definedName name="FSUB10">#REF!</definedName>
    <definedName name="FSUB11">#REF!</definedName>
    <definedName name="FSUB12">#REF!</definedName>
    <definedName name="FSUB13">#REF!</definedName>
    <definedName name="FSUB14">#REF!</definedName>
    <definedName name="FSUB15">#REF!</definedName>
    <definedName name="FSUB16">#REF!</definedName>
    <definedName name="FSUB2">#REF!</definedName>
    <definedName name="FSUB3">#REF!</definedName>
    <definedName name="FSUB4">#REF!</definedName>
    <definedName name="FSUB5">#REF!</definedName>
    <definedName name="FSUB6">#REF!</definedName>
    <definedName name="FSUB7">#REF!</definedName>
    <definedName name="FSUB8">#REF!</definedName>
    <definedName name="FSUB9">#REF!</definedName>
    <definedName name="Hist_ES">#REF!</definedName>
    <definedName name="HOME1">#REF!</definedName>
    <definedName name="HOME2">#REF!</definedName>
    <definedName name="IMENU">#REF!</definedName>
    <definedName name="IMESSAGE">#REF!</definedName>
    <definedName name="Import">'[7]Saisie_ info'!#REF!</definedName>
    <definedName name="Index">#REF!</definedName>
    <definedName name="IndexOV">#REF!</definedName>
    <definedName name="INTEREST4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CIQ" hidden="1">"c12103"</definedName>
    <definedName name="IQ_ANALYST_NON_PER_DET_EST" hidden="1">"c12755"</definedName>
    <definedName name="IQ_ANALYST_NON_PER_DET_EST_CIQ" hidden="1">"c12756"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_CIQ" hidden="1">"c4737"</definedName>
    <definedName name="IQ_BV_HIGH_EST_CIQ" hidden="1">"c4739"</definedName>
    <definedName name="IQ_BV_LOW_EST_CIQ" hidden="1">"c4740"</definedName>
    <definedName name="IQ_BV_MEDIAN_EST_CIQ" hidden="1">"c4738"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DET_EST" hidden="1">"c12047"</definedName>
    <definedName name="IQ_BV_SHARE_DET_EST_CIQ" hidden="1">"c12107"</definedName>
    <definedName name="IQ_BV_SHARE_DET_EST_CURRENCY" hidden="1">"c12456"</definedName>
    <definedName name="IQ_BV_SHARE_DET_EST_CURRENCY_CIQ" hidden="1">"c12500"</definedName>
    <definedName name="IQ_BV_SHARE_DET_EST_DATE" hidden="1">"c12200"</definedName>
    <definedName name="IQ_BV_SHARE_DET_EST_DATE_CIQ" hidden="1">"c12253"</definedName>
    <definedName name="IQ_BV_SHARE_DET_EST_INCL" hidden="1">"c12339"</definedName>
    <definedName name="IQ_BV_SHARE_DET_EST_INCL_CIQ" hidden="1">"c12383"</definedName>
    <definedName name="IQ_BV_SHARE_DET_EST_ORIGIN" hidden="1">"c12573"</definedName>
    <definedName name="IQ_BV_SHARE_DET_EST_ORIGIN_CIQ" hidden="1">"c12622"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DET_EST" hidden="1">"c12048"</definedName>
    <definedName name="IQ_CAPEX_DET_EST_CIQ" hidden="1">"c12108"</definedName>
    <definedName name="IQ_CAPEX_DET_EST_CURRENCY" hidden="1">"c12457"</definedName>
    <definedName name="IQ_CAPEX_DET_EST_CURRENCY_CIQ" hidden="1">"c12501"</definedName>
    <definedName name="IQ_CAPEX_DET_EST_DATE" hidden="1">"c12201"</definedName>
    <definedName name="IQ_CAPEX_DET_EST_DATE_CIQ" hidden="1">"c12254"</definedName>
    <definedName name="IQ_CAPEX_DET_EST_INCL" hidden="1">"c12340"</definedName>
    <definedName name="IQ_CAPEX_DET_EST_INCL_CIQ" hidden="1">"c12384"</definedName>
    <definedName name="IQ_CAPEX_DET_EST_ORIGIN" hidden="1">"c12765"</definedName>
    <definedName name="IQ_CAPEX_DET_EST_ORIGIN_CIQ" hidden="1">"c12766"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HIGH_EST" hidden="1">"c4156"</definedName>
    <definedName name="IQ_CASH_FLOW_HIGH_EST_CIQ" hidden="1">"c4568"</definedName>
    <definedName name="IQ_CASH_FLOW_LOW_EST" hidden="1">"c4157"</definedName>
    <definedName name="IQ_CASH_FLOW_LOW_EST_CIQ" hidden="1">"c4569"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HIGH_EST" hidden="1">"c4251"</definedName>
    <definedName name="IQ_CASH_ST_INVEST_HIGH_EST_CIQ" hidden="1">"c4777"</definedName>
    <definedName name="IQ_CASH_ST_INVEST_LOW_EST" hidden="1">"c4252"</definedName>
    <definedName name="IQ_CASH_ST_INVEST_LOW_EST_CIQ" hidden="1">"c4778"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DET_EST" hidden="1">"c12049"</definedName>
    <definedName name="IQ_CFPS_DET_EST_CIQ" hidden="1">"c12109"</definedName>
    <definedName name="IQ_CFPS_DET_EST_CURRENCY" hidden="1">"c12458"</definedName>
    <definedName name="IQ_CFPS_DET_EST_CURRENCY_CIQ" hidden="1">"c12502"</definedName>
    <definedName name="IQ_CFPS_DET_EST_DATE" hidden="1">"c12202"</definedName>
    <definedName name="IQ_CFPS_DET_EST_DATE_CIQ" hidden="1">"c12255"</definedName>
    <definedName name="IQ_CFPS_DET_EST_INCL" hidden="1">"c12341"</definedName>
    <definedName name="IQ_CFPS_DET_EST_INCL_CIQ" hidden="1">"c12385"</definedName>
    <definedName name="IQ_CFPS_DET_EST_ORIGIN" hidden="1">"c12575"</definedName>
    <definedName name="IQ_CFPS_DET_EST_ORIGIN_CIQ" hidden="1">"c12624"</definedName>
    <definedName name="IQ_CFPS_EST" hidden="1">"c1667"</definedName>
    <definedName name="IQ_CFPS_EST_CIQ" hidden="1">"c3675"</definedName>
    <definedName name="IQ_CFPS_GUIDANCE" hidden="1">"c4256"</definedName>
    <definedName name="IQ_CFPS_HIGH_EST" hidden="1">"c1669"</definedName>
    <definedName name="IQ_CFPS_HIGH_EST_CIQ" hidden="1">"c3677"</definedName>
    <definedName name="IQ_CFPS_HIGH_GUIDANCE" hidden="1">"c4167"</definedName>
    <definedName name="IQ_CFPS_LOW_EST" hidden="1">"c1670"</definedName>
    <definedName name="IQ_CFPS_LOW_EST_CIQ" hidden="1">"c3678"</definedName>
    <definedName name="IQ_CFPS_LOW_GUIDANCE" hidden="1">"c4207"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DET_EST" hidden="1">"c13610"</definedName>
    <definedName name="IQ_COM_TARGET_PRICE_DET_EST_CIQ" hidden="1">"c13603"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CIQ" hidden="1">"c12105"</definedName>
    <definedName name="IQ_CONTRIB_NAME_DET_EST" hidden="1">"c12046"</definedName>
    <definedName name="IQ_CONTRIB_NAME_DET_EST_CIQ" hidden="1">"c12106"</definedName>
    <definedName name="IQ_CONTRIB_NAME_NON_PER_DET_EST" hidden="1">"c12760"</definedName>
    <definedName name="IQ_CONTRIB_NAME_NON_PER_DET_EST_CIQ" hidden="1">"c12761"</definedName>
    <definedName name="IQ_CONTRIB_REC_DET_EST" hidden="1">"c12051"</definedName>
    <definedName name="IQ_CONTRIB_REC_DET_EST_CIQ" hidden="1">"c12111"</definedName>
    <definedName name="IQ_CONTRIB_REC_DET_EST_DATE" hidden="1">"c12204"</definedName>
    <definedName name="IQ_CONTRIB_REC_DET_EST_DATE_CIQ" hidden="1">"c12257"</definedName>
    <definedName name="IQ_CONTRIB_REC_DET_EST_ORIGIN" hidden="1">"c12577"</definedName>
    <definedName name="IQ_CONTRIB_REC_DET_EST_ORIGIN_CIQ" hidden="1">"c12626"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DET_EST" hidden="1">"c12052"</definedName>
    <definedName name="IQ_DPS_DET_EST_CIQ" hidden="1">"c12112"</definedName>
    <definedName name="IQ_DPS_DET_EST_CURRENCY" hidden="1">"c12459"</definedName>
    <definedName name="IQ_DPS_DET_EST_CURRENCY_CIQ" hidden="1">"c12503"</definedName>
    <definedName name="IQ_DPS_DET_EST_DATE" hidden="1">"c12205"</definedName>
    <definedName name="IQ_DPS_DET_EST_DATE_CIQ" hidden="1">"c12258"</definedName>
    <definedName name="IQ_DPS_DET_EST_INCL" hidden="1">"c12342"</definedName>
    <definedName name="IQ_DPS_DET_EST_INCL_CIQ" hidden="1">"c12386"</definedName>
    <definedName name="IQ_DPS_DET_EST_ORIGIN" hidden="1">"c12578"</definedName>
    <definedName name="IQ_DPS_DET_EST_ORIGIN_CIQ" hidden="1">"c12627"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HIGH_EST" hidden="1">"c1676"</definedName>
    <definedName name="IQ_DPS_HIGH_EST_CIQ" hidden="1">"c3684"</definedName>
    <definedName name="IQ_DPS_HIGH_GUIDANCE" hidden="1">"c4168"</definedName>
    <definedName name="IQ_DPS_LOW_EST" hidden="1">"c1677"</definedName>
    <definedName name="IQ_DPS_LOW_EST_CIQ" hidden="1">"c3685"</definedName>
    <definedName name="IQ_DPS_LOW_GUIDANCE" hidden="1">"c4208"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DET_EST" hidden="1">"c12053"</definedName>
    <definedName name="IQ_EBIT_DET_EST_CIQ" hidden="1">"c12113"</definedName>
    <definedName name="IQ_EBIT_DET_EST_CURRENCY" hidden="1">"c12460"</definedName>
    <definedName name="IQ_EBIT_DET_EST_CURRENCY_CIQ" hidden="1">"c12504"</definedName>
    <definedName name="IQ_EBIT_DET_EST_DATE" hidden="1">"c12206"</definedName>
    <definedName name="IQ_EBIT_DET_EST_DATE_CIQ" hidden="1">"c12259"</definedName>
    <definedName name="IQ_EBIT_DET_EST_INCL" hidden="1">"c12343"</definedName>
    <definedName name="IQ_EBIT_DET_EST_INCL_CIQ" hidden="1">"c12387"</definedName>
    <definedName name="IQ_EBIT_DET_EST_ORIGIN" hidden="1">"c12579"</definedName>
    <definedName name="IQ_EBIT_DET_EST_ORIGIN_CIQ" hidden="1">"c12628"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HIGH_EST" hidden="1">"c4308"</definedName>
    <definedName name="IQ_EBIT_GW_HIGH_EST_CIQ" hidden="1">"c4833"</definedName>
    <definedName name="IQ_EBIT_GW_LOW_EST" hidden="1">"c4309"</definedName>
    <definedName name="IQ_EBIT_GW_LOW_EST_CIQ" hidden="1">"c4834"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HIGH_EST" hidden="1">"c4322"</definedName>
    <definedName name="IQ_EBIT_SBC_GW_HIGH_EST_CIQ" hidden="1">"c4847"</definedName>
    <definedName name="IQ_EBIT_SBC_GW_LOW_EST" hidden="1">"c4323"</definedName>
    <definedName name="IQ_EBIT_SBC_GW_LOW_EST_CIQ" hidden="1">"c4848"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LOW_EST" hidden="1">"c4329"</definedName>
    <definedName name="IQ_EBIT_SBC_LOW_EST_CIQ" hidden="1">"c4854"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IQ" hidden="1">"c12114"</definedName>
    <definedName name="IQ_EBITDA_DET_EST_CURRENCY" hidden="1">"c12461"</definedName>
    <definedName name="IQ_EBITDA_DET_EST_CURRENCY_CIQ" hidden="1">"c12505"</definedName>
    <definedName name="IQ_EBITDA_DET_EST_DATE" hidden="1">"c12207"</definedName>
    <definedName name="IQ_EBITDA_DET_EST_DATE_CIQ" hidden="1">"c12260"</definedName>
    <definedName name="IQ_EBITDA_DET_EST_INCL" hidden="1">"c12344"</definedName>
    <definedName name="IQ_EBITDA_DET_EST_INCL_CIQ" hidden="1">"c12388"</definedName>
    <definedName name="IQ_EBITDA_DET_EST_ORIGIN" hidden="1">"c12580"</definedName>
    <definedName name="IQ_EBITDA_DET_EST_ORIGIN_CIQ" hidden="1">"c12629"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HIGH_EST" hidden="1">"c4339"</definedName>
    <definedName name="IQ_EBITDA_SBC_HIGH_EST_CIQ" hidden="1">"c4864"</definedName>
    <definedName name="IQ_EBITDA_SBC_LOW_EST" hidden="1">"c4340"</definedName>
    <definedName name="IQ_EBITDA_SBC_LOW_EST_CIQ" hidden="1">"c4865"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HIGH_EST" hidden="1">"c4356"</definedName>
    <definedName name="IQ_EBT_SBC_GW_HIGH_EST_CIQ" hidden="1">"c4881"</definedName>
    <definedName name="IQ_EBT_SBC_GW_LOW_EST" hidden="1">"c4357"</definedName>
    <definedName name="IQ_EBT_SBC_GW_LOW_EST_CIQ" hidden="1">"c4882"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LOW_EST" hidden="1">"c4363"</definedName>
    <definedName name="IQ_EBT_SBC_LOW_EST_CIQ" hidden="1">"c4888"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CIQ" hidden="1">"c12104"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DET_EST" hidden="1">"c13571"</definedName>
    <definedName name="IQ_EPS_DET_EST_CIQ" hidden="1">"c13573"</definedName>
    <definedName name="IQ_EPS_DET_EST_CURRENCY" hidden="1">"c13583"</definedName>
    <definedName name="IQ_EPS_DET_EST_CURRENCY_CIQ" hidden="1">"c13585"</definedName>
    <definedName name="IQ_EPS_DET_EST_DATE" hidden="1">"c13575"</definedName>
    <definedName name="IQ_EPS_DET_EST_DATE_CIQ" hidden="1">"c13577"</definedName>
    <definedName name="IQ_EPS_DET_EST_INCL" hidden="1">"c13587"</definedName>
    <definedName name="IQ_EPS_DET_EST_INCL_CIQ" hidden="1">"c13589"</definedName>
    <definedName name="IQ_EPS_DET_EST_ORIGIN" hidden="1">"c13579"</definedName>
    <definedName name="IQ_EPS_DET_EST_ORIGIN_CIQ" hidden="1">"c13581"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IQ" hidden="1">"c12118"</definedName>
    <definedName name="IQ_EPS_GW_DET_EST_CURRENCY" hidden="1">"c12463"</definedName>
    <definedName name="IQ_EPS_GW_DET_EST_CURRENCY_CIQ" hidden="1">"c12509"</definedName>
    <definedName name="IQ_EPS_GW_DET_EST_DATE" hidden="1">"c12209"</definedName>
    <definedName name="IQ_EPS_GW_DET_EST_DATE_CIQ" hidden="1">"c12264"</definedName>
    <definedName name="IQ_EPS_GW_DET_EST_INCL" hidden="1">"c12346"</definedName>
    <definedName name="IQ_EPS_GW_DET_EST_INCL_CIQ" hidden="1">"c12392"</definedName>
    <definedName name="IQ_EPS_GW_DET_EST_ORIGIN" hidden="1">"c12582"</definedName>
    <definedName name="IQ_EPS_GW_DET_EST_ORIGIN_CIQ" hidden="1">"c12633"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IQ" hidden="1">"c12120"</definedName>
    <definedName name="IQ_EPS_NORM_DET_EST_CURRENCY" hidden="1">"c12465"</definedName>
    <definedName name="IQ_EPS_NORM_DET_EST_CURRENCY_CIQ" hidden="1">"c12511"</definedName>
    <definedName name="IQ_EPS_NORM_DET_EST_DATE" hidden="1">"c12211"</definedName>
    <definedName name="IQ_EPS_NORM_DET_EST_DATE_CIQ" hidden="1">"c12266"</definedName>
    <definedName name="IQ_EPS_NORM_DET_EST_INCL" hidden="1">"c12348"</definedName>
    <definedName name="IQ_EPS_NORM_DET_EST_INCL_CIQ" hidden="1">"c12394"</definedName>
    <definedName name="IQ_EPS_NORM_DET_EST_ORIGIN" hidden="1">"c12583"</definedName>
    <definedName name="IQ_EPS_NORM_DET_EST_ORIGIN_CIQ" hidden="1">"c12635"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DET_EST" hidden="1">"c12057"</definedName>
    <definedName name="IQ_EPS_REPORTED_DET_EST_CIQ" hidden="1">"c12119"</definedName>
    <definedName name="IQ_EPS_REPORTED_DET_EST_CURRENCY" hidden="1">"c12464"</definedName>
    <definedName name="IQ_EPS_REPORTED_DET_EST_CURRENCY_CIQ" hidden="1">"c12510"</definedName>
    <definedName name="IQ_EPS_REPORTED_DET_EST_DATE" hidden="1">"c12210"</definedName>
    <definedName name="IQ_EPS_REPORTED_DET_EST_DATE_CIQ" hidden="1">"c12265"</definedName>
    <definedName name="IQ_EPS_REPORTED_DET_EST_INCL" hidden="1">"c12347"</definedName>
    <definedName name="IQ_EPS_REPORTED_DET_EST_INCL_CIQ" hidden="1">"c12393"</definedName>
    <definedName name="IQ_EPS_REPORTED_DET_EST_ORIGIN" hidden="1">"c12772"</definedName>
    <definedName name="IQ_EPS_REPORTED_DET_EST_ORIGIN_CIQ" hidden="1">"c12634"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HIGH_EST" hidden="1">"c4382"</definedName>
    <definedName name="IQ_EPS_SBC_GW_HIGH_EST_CIQ" hidden="1">"c4907"</definedName>
    <definedName name="IQ_EPS_SBC_GW_LOW_EST" hidden="1">"c4383"</definedName>
    <definedName name="IQ_EPS_SBC_GW_LOW_EST_CIQ" hidden="1">"c4908"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LOW_EST" hidden="1">"c4389"</definedName>
    <definedName name="IQ_EPS_SBC_LOW_EST_CIQ" hidden="1">"c4914"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SHARE" hidden="1">"c1666"</definedName>
    <definedName name="IQ_EST_ACT_FFO_SHARE_CIQ" hidden="1">"c3674"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"c4969"</definedName>
    <definedName name="IQ_EST_FFO_GROWTH_1YR" hidden="1">"c1770"</definedName>
    <definedName name="IQ_EST_FFO_GROWTH_1YR_CIQ" hidden="1">"c4950"</definedName>
    <definedName name="IQ_EST_FFO_GROWTH_2YR" hidden="1">"c1771"</definedName>
    <definedName name="IQ_EST_FFO_GROWTH_2YR_CIQ" hidden="1">"c4951"</definedName>
    <definedName name="IQ_EST_FFO_GROWTH_Q_1YR" hidden="1">"c1772"</definedName>
    <definedName name="IQ_EST_FFO_GROWTH_Q_1YR_CIQ" hidden="1">"c4952"</definedName>
    <definedName name="IQ_EST_FFO_SEQ_GROWTH_Q" hidden="1">"c1773"</definedName>
    <definedName name="IQ_EST_FFO_SEQ_GROWTH_Q_CIQ" hidden="1">"c4953"</definedName>
    <definedName name="IQ_EST_FFO_SHARE_DIFF" hidden="1">"c1869"</definedName>
    <definedName name="IQ_EST_FFO_SHARE_DIFF_CIQ" hidden="1">"c3721"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URPRISE_PERCENT" hidden="1">"c1870"</definedName>
    <definedName name="IQ_EST_FFO_SHARE_SURPRISE_PERCENT_CIQ" hidden="1">"c3722"</definedName>
    <definedName name="IQ_EST_FFO_SURPRISE_PERCENT" hidden="1">"c1870"</definedName>
    <definedName name="IQ_EST_FFO_SURPRISE_PERCENT_CIQ" hidden="1">"c4982"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"c1896"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" hidden="1">"c1887"</definedName>
    <definedName name="IQ_EST_NI_GW_DIFF_CIQ" hidden="1">"c4757"</definedName>
    <definedName name="IQ_EST_NI_GW_SURPRISE_PERCENT" hidden="1">"c1888"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GUIDANCE" hidden="1">"c4443"</definedName>
    <definedName name="IQ_FFO_HIGH_EST" hidden="1">"c419"</definedName>
    <definedName name="IQ_FFO_HIGH_EST_CIQ" hidden="1">"c4977"</definedName>
    <definedName name="IQ_FFO_HIGH_GUIDANCE" hidden="1">"c4184"</definedName>
    <definedName name="IQ_FFO_LOW_EST" hidden="1">"c420"</definedName>
    <definedName name="IQ_FFO_LOW_EST_CIQ" hidden="1">"c4978"</definedName>
    <definedName name="IQ_FFO_LOW_GUIDANCE" hidden="1">"c4224"</definedName>
    <definedName name="IQ_FFO_MEDIAN_EST" hidden="1">"c1665"</definedName>
    <definedName name="IQ_FFO_MEDIAN_EST_CIQ" hidden="1">"c4979"</definedName>
    <definedName name="IQ_FFO_NUM_EST" hidden="1">"c421"</definedName>
    <definedName name="IQ_FFO_NUM_EST_CIQ" hidden="1">"c4980"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GUIDANCE" hidden="1">"c4447"</definedName>
    <definedName name="IQ_FFO_SHARE_HIGH_EST" hidden="1">"c419"</definedName>
    <definedName name="IQ_FFO_SHARE_HIGH_EST_CIQ" hidden="1">"c3670"</definedName>
    <definedName name="IQ_FFO_SHARE_HIGH_GUIDANCE" hidden="1">"c4203"</definedName>
    <definedName name="IQ_FFO_SHARE_LOW_EST" hidden="1">"c420"</definedName>
    <definedName name="IQ_FFO_SHARE_LOW_EST_CIQ" hidden="1">"c3671"</definedName>
    <definedName name="IQ_FFO_SHARE_LOW_GUIDANCE" hidden="1">"c4243"</definedName>
    <definedName name="IQ_FFO_SHARE_MEDIAN_EST" hidden="1">"c1665"</definedName>
    <definedName name="IQ_FFO_SHARE_MEDIAN_EST_CIQ" hidden="1">"c3669"</definedName>
    <definedName name="IQ_FFO_SHARE_NUM_EST" hidden="1">"c421"</definedName>
    <definedName name="IQ_FFO_SHARE_NUM_EST_CIQ" hidden="1">"c3672"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DATE" hidden="1">"c12212"</definedName>
    <definedName name="IQ_FFO_SHARE_SHARE_EST_DET_EST_DATE_CIQ" hidden="1">"c12267"</definedName>
    <definedName name="IQ_FFO_SHARE_SHARE_EST_DET_EST_INCL" hidden="1">"c12349"</definedName>
    <definedName name="IQ_FFO_SHARE_SHARE_EST_DET_EST_INCL_CIQ" hidden="1">"c12395"</definedName>
    <definedName name="IQ_FFO_SHARE_SHARE_EST_DET_EST_ORIGIN" hidden="1">"c12722"</definedName>
    <definedName name="IQ_FFO_SHARE_SHARE_EST_DET_EST_ORIGIN_CIQ" hidden="1">"c12720"</definedName>
    <definedName name="IQ_FFO_SHARE_STDDEV_EST" hidden="1">"c422"</definedName>
    <definedName name="IQ_FFO_SHARE_STDDEV_EST_CIQ" hidden="1">"c3673"</definedName>
    <definedName name="IQ_FFO_STDDEV_EST" hidden="1">"c422"</definedName>
    <definedName name="IQ_FFO_STDDEV_EST_CIQ" hidden="1">"c4981"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CIQ" hidden="1">"c12122"</definedName>
    <definedName name="IQ_LT_GROWTH_DET_EST_DATE" hidden="1">"c12213"</definedName>
    <definedName name="IQ_LT_GROWTH_DET_EST_DATE_CIQ" hidden="1">"c12268"</definedName>
    <definedName name="IQ_LT_GROWTH_DET_EST_INCL" hidden="1">"c12350"</definedName>
    <definedName name="IQ_LT_GROWTH_DET_EST_INCL_CIQ" hidden="1">"c12396"</definedName>
    <definedName name="IQ_LT_GROWTH_DET_EST_ORIGIN" hidden="1">"c12725"</definedName>
    <definedName name="IQ_LT_GROWTH_DET_EST_ORIGIN_CIQ" hidden="1">"c12721"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DET_EST_CIQ" hidden="1">"c12123"</definedName>
    <definedName name="IQ_NAV_SHARE_DET_EST_CURRENCY_CIQ" hidden="1">"c12514"</definedName>
    <definedName name="IQ_NAV_SHARE_DET_EST_DATE_CIQ" hidden="1">"c12269"</definedName>
    <definedName name="IQ_NAV_SHARE_DET_EST_INCL_CIQ" hidden="1">"c12397"</definedName>
    <definedName name="IQ_NAV_SHARE_DET_EST_ORIGIN" hidden="1">"c12585"</definedName>
    <definedName name="IQ_NAV_SHARE_DET_EST_ORIGIN_CIQ" hidden="1">"c12638"</definedName>
    <definedName name="IQ_NAV_SHARE_EST_CIQ" hidden="1">"c12032"</definedName>
    <definedName name="IQ_NAV_SHARE_HIGH_EST_CIQ" hidden="1">"c12035"</definedName>
    <definedName name="IQ_NAV_SHARE_LOW_EST_CIQ" hidden="1">"c12036"</definedName>
    <definedName name="IQ_NAV_SHARE_MEDIAN_EST_CIQ" hidden="1">"c12033"</definedName>
    <definedName name="IQ_NAV_SHARE_NUM_EST_CIQ" hidden="1">"c12037"</definedName>
    <definedName name="IQ_NAV_SHARE_STDDEV_EST_CIQ" hidden="1">"c12034"</definedName>
    <definedName name="IQ_NAV_STDDEV_EST" hidden="1">"c1756"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DET_EST" hidden="1">"c12061"</definedName>
    <definedName name="IQ_NET_DEBT_DET_EST_CIQ" hidden="1">"c12124"</definedName>
    <definedName name="IQ_NET_DEBT_DET_EST_CURRENCY" hidden="1">"c12468"</definedName>
    <definedName name="IQ_NET_DEBT_DET_EST_CURRENCY_CIQ" hidden="1">"c12515"</definedName>
    <definedName name="IQ_NET_DEBT_DET_EST_DATE" hidden="1">"c12214"</definedName>
    <definedName name="IQ_NET_DEBT_DET_EST_DATE_CIQ" hidden="1">"c12270"</definedName>
    <definedName name="IQ_NET_DEBT_DET_EST_INCL" hidden="1">"c12351"</definedName>
    <definedName name="IQ_NET_DEBT_DET_EST_INCL_CIQ" hidden="1">"c12398"</definedName>
    <definedName name="IQ_NET_DEBT_DET_EST_ORIGIN" hidden="1">"c12586"</definedName>
    <definedName name="IQ_NET_DEBT_DET_EST_ORIGIN_CIQ" hidden="1">"c12639"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IQ" hidden="1">"c12125"</definedName>
    <definedName name="IQ_NI_DET_EST_CURRENCY" hidden="1">"c12469"</definedName>
    <definedName name="IQ_NI_DET_EST_CURRENCY_CIQ" hidden="1">"c12516"</definedName>
    <definedName name="IQ_NI_DET_EST_DATE" hidden="1">"c12215"</definedName>
    <definedName name="IQ_NI_DET_EST_DATE_CIQ" hidden="1">"c12271"</definedName>
    <definedName name="IQ_NI_DET_EST_INCL" hidden="1">"c12352"</definedName>
    <definedName name="IQ_NI_DET_EST_INCL_CIQ" hidden="1">"c12399"</definedName>
    <definedName name="IQ_NI_DET_EST_ORIGIN" hidden="1">"c12587"</definedName>
    <definedName name="IQ_NI_DET_EST_ORIGIN_CIQ" hidden="1">"c12640"</definedName>
    <definedName name="IQ_NI_EST" hidden="1">"c1716"</definedName>
    <definedName name="IQ_NI_EST_CIQ" hidden="1">"c4702"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DET_EST" hidden="1">"c12063"</definedName>
    <definedName name="IQ_NI_GW_DET_EST_CIQ" hidden="1">"c12126"</definedName>
    <definedName name="IQ_NI_GW_DET_EST_CURRENCY" hidden="1">"c12470"</definedName>
    <definedName name="IQ_NI_GW_DET_EST_CURRENCY_CIQ" hidden="1">"c12517"</definedName>
    <definedName name="IQ_NI_GW_DET_EST_DATE" hidden="1">"c12216"</definedName>
    <definedName name="IQ_NI_GW_DET_EST_DATE_CIQ" hidden="1">"c12272"</definedName>
    <definedName name="IQ_NI_GW_DET_EST_INCL" hidden="1">"c12353"</definedName>
    <definedName name="IQ_NI_GW_DET_EST_INCL_CIQ" hidden="1">"c12400"</definedName>
    <definedName name="IQ_NI_GW_DET_EST_ORIGIN_CIQ" hidden="1">"c12641"</definedName>
    <definedName name="IQ_NI_GW_EST" hidden="1">"c1723"</definedName>
    <definedName name="IQ_NI_GW_EST_CIQ" hidden="1">"c4709"</definedName>
    <definedName name="IQ_NI_GW_GUIDANCE" hidden="1">"c4471"</definedName>
    <definedName name="IQ_NI_GW_HIGH_EST" hidden="1">"c1725"</definedName>
    <definedName name="IQ_NI_GW_HIGH_EST_CIQ" hidden="1">"c4711"</definedName>
    <definedName name="IQ_NI_GW_HIGH_GUIDANCE" hidden="1">"c4178"</definedName>
    <definedName name="IQ_NI_GW_LOW_EST" hidden="1">"c1726"</definedName>
    <definedName name="IQ_NI_GW_LOW_EST_CIQ" hidden="1">"c4712"</definedName>
    <definedName name="IQ_NI_GW_LOW_GUIDANCE" hidden="1">"c4218"</definedName>
    <definedName name="IQ_NI_GW_MEDIAN_EST" hidden="1">"c1724"</definedName>
    <definedName name="IQ_NI_GW_MEDIAN_EST_CIQ" hidden="1">"c4710"</definedName>
    <definedName name="IQ_NI_GW_NUM_EST" hidden="1">"c1727"</definedName>
    <definedName name="IQ_NI_GW_NUM_EST_CIQ" hidden="1">"c4713"</definedName>
    <definedName name="IQ_NI_GW_STDDEV_EST" hidden="1">"c1728"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LOW_EST" hidden="1">"c1719"</definedName>
    <definedName name="IQ_NI_LOW_EST_CIQ" hidden="1">"c4705"</definedName>
    <definedName name="IQ_NI_LOW_GUIDANCE" hidden="1">"c4216"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DET_EST_CIQ" hidden="1">"c12127"</definedName>
    <definedName name="IQ_NI_REPORTED_DET_EST_CURRENCY_CIQ" hidden="1">"c12518"</definedName>
    <definedName name="IQ_NI_REPORTED_DET_EST_DATE_CIQ" hidden="1">"c12273"</definedName>
    <definedName name="IQ_NI_REPORTED_DET_EST_INCL_CIQ" hidden="1">"c12401"</definedName>
    <definedName name="IQ_NI_REPORTED_DET_EST_ORIGIN" hidden="1">"c12588"</definedName>
    <definedName name="IQ_NI_REPORTED_DET_EST_ORIGIN_CIQ" hidden="1">"c12642"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HIGH_EST" hidden="1">"c4480"</definedName>
    <definedName name="IQ_NI_SBC_GW_HIGH_EST_CIQ" hidden="1">"c5018"</definedName>
    <definedName name="IQ_NI_SBC_GW_LOW_EST" hidden="1">"c4481"</definedName>
    <definedName name="IQ_NI_SBC_GW_LOW_EST_CIQ" hidden="1">"c5019"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LOW_EST" hidden="1">"c4487"</definedName>
    <definedName name="IQ_NI_SBC_LOW_EST_CIQ" hidden="1">"c5025"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DET_EST" hidden="1">"c12064"</definedName>
    <definedName name="IQ_OPER_INC_DET_EST_CIQ" hidden="1">"c12128"</definedName>
    <definedName name="IQ_OPER_INC_DET_EST_CIQ_CURRENCY_CIQ" hidden="1">"c12519"</definedName>
    <definedName name="IQ_OPER_INC_DET_EST_CIQ_INCL_INCL_CIQ" hidden="1">"c12402"</definedName>
    <definedName name="IQ_OPER_INC_DET_EST_CURRENCY" hidden="1">"c12471"</definedName>
    <definedName name="IQ_OPER_INC_DET_EST_DATE" hidden="1">"c12217"</definedName>
    <definedName name="IQ_OPER_INC_DET_EST_DATE_CIQ" hidden="1">"c12274"</definedName>
    <definedName name="IQ_OPER_INC_DET_EST_INCL" hidden="1">"c12354"</definedName>
    <definedName name="IQ_OPER_INC_DET_EST_ORIGIN" hidden="1">"c12589"</definedName>
    <definedName name="IQ_OPER_INC_DET_EST_ORIGIN_CIQ" hidden="1">"c12643"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DAY" hidden="1">"c1822"</definedName>
    <definedName name="IQ_PERCENT_CHANGE_EST_FFO_SHARE_SHARE_DAY_CIQ" hidden="1">"c3764"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WEEK" hidden="1">"c1823"</definedName>
    <definedName name="IQ_PERCENT_CHANGE_EST_FFO_SHARE_SHARE_WEEK_CIQ" hidden="1">"c3795"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DET_EST_CIQ" hidden="1">"c12116"</definedName>
    <definedName name="IQ_PRETAX_GW_INC_DET_EST_CURRENCY_CIQ" hidden="1">"c12507"</definedName>
    <definedName name="IQ_PRETAX_GW_INC_DET_EST_DATE_CIQ" hidden="1">"c12262"</definedName>
    <definedName name="IQ_PRETAX_GW_INC_DET_EST_INCL_CIQ" hidden="1">"c12390"</definedName>
    <definedName name="IQ_PRETAX_GW_INC_DET_EST_ORIGIN_CIQ" hidden="1">"c12631"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DET_EST" hidden="1">"c12055"</definedName>
    <definedName name="IQ_PRETAX_INC_DET_EST_CIQ" hidden="1">"c12115"</definedName>
    <definedName name="IQ_PRETAX_INC_DET_EST_CURRENCY" hidden="1">"c12462"</definedName>
    <definedName name="IQ_PRETAX_INC_DET_EST_CURRENCY_CIQ" hidden="1">"c12506"</definedName>
    <definedName name="IQ_PRETAX_INC_DET_EST_DATE" hidden="1">"c12208"</definedName>
    <definedName name="IQ_PRETAX_INC_DET_EST_DATE_CIQ" hidden="1">"c12261"</definedName>
    <definedName name="IQ_PRETAX_INC_DET_EST_INCL" hidden="1">"c12345"</definedName>
    <definedName name="IQ_PRETAX_INC_DET_EST_INCL_CIQ" hidden="1">"c12389"</definedName>
    <definedName name="IQ_PRETAX_INC_DET_EST_ORIGIN" hidden="1">"c12771"</definedName>
    <definedName name="IQ_PRETAX_INC_DET_EST_ORIGIN_CIQ" hidden="1">"c12630"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OPERATING_INC_AVG_ASSETS_FFIEC" hidden="1">"c13365"</definedName>
    <definedName name="IQ_PRETAX_REPORT_INC_DET_EST_CIQ" hidden="1">"c12117"</definedName>
    <definedName name="IQ_PRETAX_REPORT_INC_DET_EST_CURRENCY_CIQ" hidden="1">"c12508"</definedName>
    <definedName name="IQ_PRETAX_REPORT_INC_DET_EST_DATE_CIQ" hidden="1">"c12263"</definedName>
    <definedName name="IQ_PRETAX_REPORT_INC_DET_EST_INCL_CIQ" hidden="1">"c12391"</definedName>
    <definedName name="IQ_PRETAX_REPORT_INC_DET_EST_ORIGIN_CIQ" hidden="1">"c12719"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HIGH_EST" hidden="1">"c4501"</definedName>
    <definedName name="IQ_RECURRING_PROFIT_HIGH_EST_CIQ" hidden="1">"c5039"</definedName>
    <definedName name="IQ_RECURRING_PROFIT_LOW_EST" hidden="1">"c4502"</definedName>
    <definedName name="IQ_RECURRING_PROFIT_LOW_EST_CIQ" hidden="1">"c5040"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HIGH_EST" hidden="1">"c4510"</definedName>
    <definedName name="IQ_RECURRING_PROFIT_SHARE_HIGH_EST_CIQ" hidden="1">"c5048"</definedName>
    <definedName name="IQ_RECURRING_PROFIT_SHARE_LOW_EST" hidden="1">"c4511"</definedName>
    <definedName name="IQ_RECURRING_PROFIT_SHARE_LOW_EST_CIQ" hidden="1">"c5049"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CIQ" hidden="1">"c12130"</definedName>
    <definedName name="IQ_RETURN_ASSETS_DET_EST_DATE" hidden="1">"c12219"</definedName>
    <definedName name="IQ_RETURN_ASSETS_DET_EST_DATE_CIQ" hidden="1">"c12276"</definedName>
    <definedName name="IQ_RETURN_ASSETS_DET_EST_INCL" hidden="1">"c12356"</definedName>
    <definedName name="IQ_RETURN_ASSETS_DET_EST_INCL_CIQ" hidden="1">"c12404"</definedName>
    <definedName name="IQ_RETURN_ASSETS_DET_EST_ORIGIN" hidden="1">"c12591"</definedName>
    <definedName name="IQ_RETURN_ASSETS_DET_EST_ORIGIN_CIQ" hidden="1">"c12645"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CIQ" hidden="1">"c12131"</definedName>
    <definedName name="IQ_RETURN_EQUITY_DET_EST_DATE" hidden="1">"c12220"</definedName>
    <definedName name="IQ_RETURN_EQUITY_DET_EST_DATE_CIQ" hidden="1">"c12277"</definedName>
    <definedName name="IQ_RETURN_EQUITY_DET_EST_INCL" hidden="1">"c12357"</definedName>
    <definedName name="IQ_RETURN_EQUITY_DET_EST_INCL_CIQ" hidden="1">"c12405"</definedName>
    <definedName name="IQ_RETURN_EQUITY_DET_EST_ORIGIN" hidden="1">"c12592"</definedName>
    <definedName name="IQ_RETURN_EQUITY_DET_EST_ORIGIN_CIQ" hidden="1">"c12646"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IQ" hidden="1">"c12129"</definedName>
    <definedName name="IQ_REV_DET_EST_CURRENCY" hidden="1">"c12472"</definedName>
    <definedName name="IQ_REV_DET_EST_CURRENCY_CIQ" hidden="1">"c12520"</definedName>
    <definedName name="IQ_REV_DET_EST_DATE" hidden="1">"c12218"</definedName>
    <definedName name="IQ_REV_DET_EST_DATE_CIQ" hidden="1">"c12275"</definedName>
    <definedName name="IQ_REV_DET_EST_INCL" hidden="1">"c12355"</definedName>
    <definedName name="IQ_REV_DET_EST_INCL_CIQ" hidden="1">"c12403"</definedName>
    <definedName name="IQ_REV_DET_EST_ORIGIN" hidden="1">"c12590"</definedName>
    <definedName name="IQ_REV_DET_EST_ORIGIN_CIQ" hidden="1">"c12644"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39462.6718171296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CIQ" hidden="1">"c12133"</definedName>
    <definedName name="IQ_STAND_REC_DET_EST_DATE" hidden="1">"c12222"</definedName>
    <definedName name="IQ_STAND_REC_DET_EST_DATE_CIQ" hidden="1">"c12279"</definedName>
    <definedName name="IQ_STAND_REC_DET_EST_ORIGIN" hidden="1">"c12594"</definedName>
    <definedName name="IQ_STAND_REC_DET_EST_ORIGIN_CIQ" hidden="1">"c12648"</definedName>
    <definedName name="IQ_STAND_REC_NUM_DET_EST" hidden="1">"c12068"</definedName>
    <definedName name="IQ_STAND_REC_NUM_DET_EST_CIQ" hidden="1">"c12132"</definedName>
    <definedName name="IQ_STAND_REC_NUM_DET_EST_DATE" hidden="1">"c12221"</definedName>
    <definedName name="IQ_STAND_REC_NUM_DET_EST_DATE_CIQ" hidden="1">"c12278"</definedName>
    <definedName name="IQ_STAND_REC_NUM_DET_EST_ORIGIN" hidden="1">"c12593"</definedName>
    <definedName name="IQ_STAND_REC_NUM_DET_EST_ORIGIN_CIQ" hidden="1">"c12647"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DET_EST" hidden="1">"c12070"</definedName>
    <definedName name="IQ_TARGET_PRICE_DET_EST_CIQ" hidden="1">"c12134"</definedName>
    <definedName name="IQ_TARGET_PRICE_DET_EST_CURRENCY" hidden="1">"c12475"</definedName>
    <definedName name="IQ_TARGET_PRICE_DET_EST_CURRENCY_CIQ" hidden="1">"c12523"</definedName>
    <definedName name="IQ_TARGET_PRICE_DET_EST_DATE" hidden="1">"c12223"</definedName>
    <definedName name="IQ_TARGET_PRICE_DET_EST_DATE_CIQ" hidden="1">"c12280"</definedName>
    <definedName name="IQ_TARGET_PRICE_DET_EST_INCL" hidden="1">"c12358"</definedName>
    <definedName name="IQ_TARGET_PRICE_DET_EST_INCL_CIQ" hidden="1">"c12406"</definedName>
    <definedName name="IQ_TARGET_PRICE_DET_EST_ORIGIN" hidden="1">"c12729"</definedName>
    <definedName name="IQ_TARGET_PRICE_DET_EST_ORIGIN_CIQ" hidden="1">"c12730"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HIGH_EST" hidden="1">"c4534"</definedName>
    <definedName name="IQ_TOTAL_DEBT_HIGH_EST_CIQ" hidden="1">"c5087"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OW">#REF!</definedName>
    <definedName name="Jours_C">'[3]Dates Périodes'!$AE$43</definedName>
    <definedName name="jours_C_Prec">'[3]Dates Périodes'!$AE$48</definedName>
    <definedName name="jours_P">'[3]Dates Périodes'!$AE$39</definedName>
    <definedName name="jours_P_Prec">'[3]Dates Périodes'!$AE$47</definedName>
    <definedName name="jsdkfjsdkfjdkl">'[8]Dates Périodes'!$E$5</definedName>
    <definedName name="LANGUAGEX">#REF!</definedName>
    <definedName name="ListOffset" hidden="1">1</definedName>
    <definedName name="LNAME">#REF!</definedName>
    <definedName name="M">#REF!</definedName>
    <definedName name="MENU_FR_EN">#REF!</definedName>
    <definedName name="n">#REF!</definedName>
    <definedName name="N.1">#REF!</definedName>
    <definedName name="N.2">#REF!</definedName>
    <definedName name="Notice">#REF!</definedName>
    <definedName name="NoticeOV">#REF!</definedName>
    <definedName name="o" hidden="1">{#N/A,#N/A,FALSE,"New Depr Sch-150% DB";#N/A,#N/A,FALSE,"Cash Flows RLP";#N/A,#N/A,FALSE,"IRR";#N/A,#N/A,FALSE,"Proforma IS";#N/A,#N/A,FALSE,"Assumptions"}</definedName>
    <definedName name="OROW">#REF!</definedName>
    <definedName name="OUT">#REF!</definedName>
    <definedName name="p_01">'[9]Répartition périodique'!$B$6</definedName>
    <definedName name="p_02">'[9]Répartition périodique'!$B$7</definedName>
    <definedName name="p_03">'[9]Répartition périodique'!$B$8</definedName>
    <definedName name="p_04">'[9]Répartition périodique'!$B$9</definedName>
    <definedName name="p_05">'[9]Répartition périodique'!$B$10</definedName>
    <definedName name="p_06">'[9]Répartition périodique'!$B$11</definedName>
    <definedName name="p_07">'[9]Répartition périodique'!$B$12</definedName>
    <definedName name="p_08">'[9]Répartition périodique'!$B$13</definedName>
    <definedName name="p_09">'[9]Répartition périodique'!$B$14</definedName>
    <definedName name="p_10">'[9]Répartition périodique'!$B$15</definedName>
    <definedName name="p_11">'[9]Répartition périodique'!$B$3</definedName>
    <definedName name="p_12">'[9]Répartition périodique'!$B$4</definedName>
    <definedName name="p_13">'[9]Répartition périodique'!$B$5</definedName>
    <definedName name="p_cumul">[4]Param!$C$10</definedName>
    <definedName name="p01_2009">#REF!</definedName>
    <definedName name="p01_2010">#REF!</definedName>
    <definedName name="p01_2011">#REF!</definedName>
    <definedName name="p02_2010">#REF!</definedName>
    <definedName name="p02_2011">#REF!</definedName>
    <definedName name="p03_2010">#REF!</definedName>
    <definedName name="p03_2011">#REF!</definedName>
    <definedName name="p04_2010">#REF!</definedName>
    <definedName name="p04_2011">#REF!</definedName>
    <definedName name="p05_2010">#REF!</definedName>
    <definedName name="p05_2011">#REF!</definedName>
    <definedName name="p06_2010">#REF!</definedName>
    <definedName name="p06_2011">#REF!</definedName>
    <definedName name="p07_2010">#REF!</definedName>
    <definedName name="p07_2011">#REF!</definedName>
    <definedName name="p08_2010">#REF!</definedName>
    <definedName name="p08_2011">#REF!</definedName>
    <definedName name="p09_2010">#REF!</definedName>
    <definedName name="p09_2011">#REF!</definedName>
    <definedName name="P1_2008">#REF!</definedName>
    <definedName name="P10_2008">#REF!</definedName>
    <definedName name="p10_2009">'[10]Dates Périodes'!$E$12</definedName>
    <definedName name="p10_2010">#REF!</definedName>
    <definedName name="p10_2011">#REF!</definedName>
    <definedName name="p102008_cumul">'[10]Dates Périodes'!#REF!</definedName>
    <definedName name="p102009_cumul">'[10]Dates Périodes'!$F$12</definedName>
    <definedName name="P11_2008">#REF!</definedName>
    <definedName name="p11_2009">'[10]Dates Périodes'!$E$13</definedName>
    <definedName name="p11_2010">#REF!</definedName>
    <definedName name="p11_2011">#REF!</definedName>
    <definedName name="p112008_cumul">'[10]Dates Périodes'!#REF!</definedName>
    <definedName name="p112009_cumul">'[10]Dates Périodes'!$F$13</definedName>
    <definedName name="P12_2008">#REF!</definedName>
    <definedName name="p12_2009">'[10]Dates Périodes'!$E$14</definedName>
    <definedName name="p12_2010">#REF!</definedName>
    <definedName name="p12_2011">#REF!</definedName>
    <definedName name="p12008_cumul">'[10]Dates Périodes'!#REF!</definedName>
    <definedName name="p12009_cumul">'[10]Dates Périodes'!$F$3</definedName>
    <definedName name="p122008_cumul">'[10]Dates Périodes'!#REF!</definedName>
    <definedName name="p122009_cumul">'[11]Dates Périodes'!$F$14</definedName>
    <definedName name="P13_2008">#REF!</definedName>
    <definedName name="p13_2009">#REF!</definedName>
    <definedName name="p13_2010">#REF!</definedName>
    <definedName name="p13_2011">#REF!</definedName>
    <definedName name="p132008_cumul">'[10]Dates Périodes'!#REF!</definedName>
    <definedName name="p132009_cumul">#REF!</definedName>
    <definedName name="P2_2008">#REF!</definedName>
    <definedName name="p2_2009">'[10]Dates Périodes'!$E$4</definedName>
    <definedName name="p22008_cumul">'[10]Dates Périodes'!#REF!</definedName>
    <definedName name="p22009_cumul">'[10]Dates Périodes'!$F$4</definedName>
    <definedName name="P3_2008">#REF!</definedName>
    <definedName name="p3_2009">'[10]Dates Périodes'!$E$5</definedName>
    <definedName name="p32008_cumul">'[10]Dates Périodes'!#REF!</definedName>
    <definedName name="p32009_cumul">'[10]Dates Périodes'!$F$5</definedName>
    <definedName name="P4_2008">#REF!</definedName>
    <definedName name="p4_2009">'[10]Dates Périodes'!$E$6</definedName>
    <definedName name="p42008_cumul">'[10]Dates Périodes'!#REF!</definedName>
    <definedName name="p42009_cumul">'[10]Dates Périodes'!$F$6</definedName>
    <definedName name="P5_2008">#REF!</definedName>
    <definedName name="p5_2009">'[10]Dates Périodes'!$E$7</definedName>
    <definedName name="p52008_cumul">'[10]Dates Périodes'!#REF!</definedName>
    <definedName name="p52009_cumul">'[10]Dates Périodes'!$F$7</definedName>
    <definedName name="P6_2008">#REF!</definedName>
    <definedName name="p6_2009">'[10]Dates Périodes'!$E$8</definedName>
    <definedName name="p62008_cumul">'[10]Dates Périodes'!#REF!</definedName>
    <definedName name="p62009_cumul">'[10]Dates Périodes'!$F$8</definedName>
    <definedName name="P7_2008">#REF!</definedName>
    <definedName name="p7_2009">'[10]Dates Périodes'!$E$9</definedName>
    <definedName name="p72008_cumul">'[10]Dates Périodes'!#REF!</definedName>
    <definedName name="p72009_cumul">'[10]Dates Périodes'!$F$9</definedName>
    <definedName name="P8_2008">#REF!</definedName>
    <definedName name="p8_2009">'[10]Dates Périodes'!$E$10</definedName>
    <definedName name="p82008_cumul">'[10]Dates Périodes'!#REF!</definedName>
    <definedName name="p82009_cumul">'[10]Dates Périodes'!$F$10</definedName>
    <definedName name="P9_2008">#REF!</definedName>
    <definedName name="p9_2009">'[10]Dates Périodes'!$E$11</definedName>
    <definedName name="p92008_cumul">'[10]Dates Périodes'!#REF!</definedName>
    <definedName name="p92009_cumul">'[10]Dates Périodes'!$F$11</definedName>
    <definedName name="PAYPATTERN">#REF!</definedName>
    <definedName name="Période">'[3]Dates Périodes'!$AE$36</definedName>
    <definedName name="Plage_1">#REF!</definedName>
    <definedName name="PMENU">#REF!</definedName>
    <definedName name="PMESSAGE12">#REF!</definedName>
    <definedName name="PMESSAGE2">#REF!</definedName>
    <definedName name="PMESSAGE4">#REF!</definedName>
    <definedName name="Ppc">[12]Data!$B$1</definedName>
    <definedName name="Prec">[13]Param!$B$3</definedName>
    <definedName name="Price">#REF!</definedName>
    <definedName name="PRINT_AREA_MI">#REF!</definedName>
    <definedName name="Productivity">#REF!</definedName>
    <definedName name="Proj_BS">#REF!</definedName>
    <definedName name="Proj_CF">#REF!</definedName>
    <definedName name="Proj_Dupont_Analysis">#REF!</definedName>
    <definedName name="Proj_Dupont_Turnover">#REF!</definedName>
    <definedName name="Proj_ES">#REF!</definedName>
    <definedName name="Proj_EVA">#REF!</definedName>
    <definedName name="Proj_IS">#REF!</definedName>
    <definedName name="Proj_SUM_Ratios">#REF!</definedName>
    <definedName name="Proj_Value">#REF!</definedName>
    <definedName name="PSI">#REF!</definedName>
    <definedName name="q" hidden="1">{#N/A,#N/A,FALSE,"New Depr Sch-150% DB";#N/A,#N/A,FALSE,"Cash Flows RLP";#N/A,#N/A,FALSE,"IRR";#N/A,#N/A,FALSE,"Proforma IS";#N/A,#N/A,FALSE,"Assumptions"}</definedName>
    <definedName name="qq">#REF!</definedName>
    <definedName name="Range">#REF!</definedName>
    <definedName name="REVISE">#REF!</definedName>
    <definedName name="RMENU">#REF!</definedName>
    <definedName name="s">#REF!</definedName>
    <definedName name="Salaires_régulier">'[6]Salaires saisie données'!#REF!</definedName>
    <definedName name="Salaires_supplémentaire">'[6]Salaires saisie données'!#REF!</definedName>
    <definedName name="SALES2R">#REF!</definedName>
    <definedName name="SALESCAT1">#REF!</definedName>
    <definedName name="SALESCAT2">#REF!</definedName>
    <definedName name="SALESCAT3">#REF!</definedName>
    <definedName name="SALESCAT4">#REF!</definedName>
    <definedName name="SALESCAT5">#REF!</definedName>
    <definedName name="SALESCOM">#REF!</definedName>
    <definedName name="SAVENO">#REF!</definedName>
    <definedName name="SAVEYES">#REF!</definedName>
    <definedName name="SCPP">#REF!</definedName>
    <definedName name="share_value_graph">#REF!</definedName>
    <definedName name="SMENU">#REF!</definedName>
    <definedName name="SNAME">#REF!</definedName>
    <definedName name="SPWS_WBID">"F4F21315-2E10-4D9B-A75B-4FC2D2D3AD60"</definedName>
    <definedName name="SSP2R">#REF!</definedName>
    <definedName name="STAR">#REF!</definedName>
    <definedName name="STAT_RE">#REF!</definedName>
    <definedName name="TABLE_MOIS">#REF!</definedName>
    <definedName name="Taux">#REF!</definedName>
    <definedName name="TESTV">#REF!</definedName>
    <definedName name="TitleOV">#REF!</definedName>
    <definedName name="TL">#REF!</definedName>
    <definedName name="TMENU">#REF!</definedName>
    <definedName name="Trim_01_2010">#REF!</definedName>
    <definedName name="Trim_01_2011">#REF!</definedName>
    <definedName name="Trim_02_2010">#REF!</definedName>
    <definedName name="Trim_02_2011">#REF!</definedName>
    <definedName name="Trim_03_2010">#REF!</definedName>
    <definedName name="Trim_03_2011">#REF!</definedName>
    <definedName name="Trim_04_2010">#REF!</definedName>
    <definedName name="Trim_04_2011">#REF!</definedName>
    <definedName name="Trim1">[13]Param!$B$4</definedName>
    <definedName name="trim1_2006">'[8]Dates Périodes'!$E$5</definedName>
    <definedName name="trim1_2007">#REF!</definedName>
    <definedName name="Trim1_2008">#REF!</definedName>
    <definedName name="Trim1_2009">#REF!</definedName>
    <definedName name="trim12008_cumul">'[10]Dates Périodes'!#REF!</definedName>
    <definedName name="trim12009_cumul">#REF!</definedName>
    <definedName name="Trim2">[14]Param!$B$5</definedName>
    <definedName name="trim2_2006">'[8]Dates Périodes'!$E$9</definedName>
    <definedName name="trim2_2007">#REF!</definedName>
    <definedName name="Trim2_2009">#REF!</definedName>
    <definedName name="Trim3">[14]Param!$B$6</definedName>
    <definedName name="trim3_2006">'[15]Dates Périodes'!$E$12</definedName>
    <definedName name="trim3_2007">#REF!</definedName>
    <definedName name="Trim3_2008">#REF!</definedName>
    <definedName name="Trim3_2009">#REF!</definedName>
    <definedName name="Trim4">[13]Param!$B$7</definedName>
    <definedName name="Trim4_2006">'[15]Dates Périodes'!$E$15</definedName>
    <definedName name="trim4_2007">#REF!</definedName>
    <definedName name="Trim4_2008">#REF!</definedName>
    <definedName name="Trim4_2009">#REF!</definedName>
    <definedName name="Trime2_2008">#REF!</definedName>
    <definedName name="TWELFTH">#REF!</definedName>
    <definedName name="Type">#REF!</definedName>
    <definedName name="UMENU">#REF!</definedName>
    <definedName name="UNDO1">#REF!</definedName>
    <definedName name="UNDO10">#REF!</definedName>
    <definedName name="UNDO11">#REF!</definedName>
    <definedName name="UNDO12">#REF!</definedName>
    <definedName name="UNDO13">#REF!</definedName>
    <definedName name="UNDO14">#REF!</definedName>
    <definedName name="UNDO2">#REF!</definedName>
    <definedName name="UNDO3">#REF!</definedName>
    <definedName name="UNDO4">#REF!</definedName>
    <definedName name="UNDO5">#REF!</definedName>
    <definedName name="UNDO6">#REF!</definedName>
    <definedName name="UNDO7">#REF!</definedName>
    <definedName name="UNDO8">#REF!</definedName>
    <definedName name="UNDO9">#REF!</definedName>
    <definedName name="UNIT1">#REF!</definedName>
    <definedName name="UNIT2">#REF!</definedName>
    <definedName name="UNIT3">#REF!</definedName>
    <definedName name="UPPERCASE">#REF!</definedName>
    <definedName name="UROW">#REF!</definedName>
    <definedName name="UROW1">#REF!</definedName>
    <definedName name="valeo">#REF!</definedName>
    <definedName name="VMENU">#REF!</definedName>
    <definedName name="W">#REF!</definedName>
    <definedName name="W_Plan">#REF!</definedName>
    <definedName name="WMENU">#REF!</definedName>
    <definedName name="wrn.Aging._.and._.Trend._.Analysis." hidden="1">{#N/A,#N/A,FALSE,"Aging Summary";#N/A,#N/A,FALSE,"Ratio Analysis";#N/A,#N/A,FALSE,"Test 120 Day Accts";#N/A,#N/A,FALSE,"Tickmarks"}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print." hidden="1">{#N/A,#N/A,FALSE,"Japan 2003";#N/A,#N/A,FALSE,"Sheet2"}</definedName>
    <definedName name="X">#REF!</definedName>
    <definedName name="X.1">#REF!</definedName>
    <definedName name="X.6">#REF!</definedName>
    <definedName name="XFILE">#REF!</definedName>
    <definedName name="XMENU">#REF!</definedName>
    <definedName name="XSUB1">#REF!</definedName>
    <definedName name="XSUB2">#REF!</definedName>
    <definedName name="XX">#REF!</definedName>
    <definedName name="XXX">#REF!</definedName>
    <definedName name="_xlnm.Print_Area" localSheetId="0">'INSTRUMENTS DE COUVERTURE'!$D$1:$W$204</definedName>
    <definedName name="_xlnm.Print_Area">#REF!</definedName>
    <definedName name="Zone_impres_ASS">#REF!</definedName>
    <definedName name="Zone_impres_MI">#REF!</definedName>
    <definedName name="Zone_ompre_A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" i="5" l="1"/>
  <c r="M24" i="5"/>
  <c r="T24" i="5"/>
  <c r="U85" i="5"/>
  <c r="T85" i="5" s="1"/>
  <c r="U83" i="5"/>
  <c r="T83" i="5" s="1"/>
  <c r="T86" i="5"/>
  <c r="P89" i="5"/>
  <c r="P84" i="5"/>
  <c r="P86" i="5"/>
  <c r="P87" i="5"/>
  <c r="P88" i="5"/>
  <c r="P83" i="5"/>
  <c r="T84" i="5"/>
  <c r="M84" i="5"/>
  <c r="K84" i="5"/>
  <c r="M83" i="5"/>
  <c r="K83" i="5"/>
  <c r="M89" i="5"/>
  <c r="M88" i="5"/>
  <c r="M87" i="5"/>
  <c r="M86" i="5"/>
  <c r="M85" i="5"/>
  <c r="M57" i="5"/>
  <c r="M56" i="5"/>
  <c r="M52" i="5"/>
  <c r="M51" i="5"/>
  <c r="V152" i="5"/>
  <c r="U152" i="5"/>
  <c r="O152" i="5"/>
  <c r="N152" i="5"/>
  <c r="V96" i="5"/>
  <c r="U96" i="5"/>
  <c r="O96" i="5"/>
  <c r="N96" i="5"/>
  <c r="B3" i="10"/>
  <c r="B2" i="10"/>
  <c r="B4" i="10"/>
  <c r="T88" i="5"/>
  <c r="T87" i="5"/>
  <c r="K89" i="5"/>
  <c r="K88" i="5"/>
  <c r="K87" i="5"/>
  <c r="K86" i="5"/>
  <c r="K85" i="5"/>
  <c r="W82" i="5"/>
  <c r="M82" i="5"/>
  <c r="K82" i="5"/>
  <c r="Q22" i="5"/>
  <c r="T57" i="5"/>
  <c r="T52" i="5"/>
  <c r="T51" i="5"/>
  <c r="Q49" i="5"/>
  <c r="K57" i="5"/>
  <c r="P85" i="5" l="1"/>
  <c r="B52" i="5"/>
  <c r="B51" i="5"/>
  <c r="W52" i="5"/>
  <c r="Q52" i="5"/>
  <c r="M29" i="5"/>
  <c r="M28" i="5"/>
  <c r="W57" i="5"/>
  <c r="Q57" i="5"/>
  <c r="B57" i="5"/>
  <c r="Q51" i="5"/>
  <c r="W51" i="5"/>
  <c r="Q12" i="5" l="1"/>
  <c r="W15" i="5"/>
  <c r="T115" i="5"/>
  <c r="M115" i="5"/>
  <c r="K29" i="5" l="1"/>
  <c r="K28" i="5"/>
  <c r="K56" i="5"/>
  <c r="W56" i="5"/>
  <c r="T56" i="5"/>
  <c r="Q56" i="5"/>
  <c r="B56" i="5"/>
  <c r="W37" i="5"/>
  <c r="T37" i="5"/>
  <c r="Q37" i="5"/>
  <c r="M37" i="5"/>
  <c r="L37" i="5"/>
  <c r="K37" i="5"/>
  <c r="B37" i="5"/>
  <c r="W27" i="5"/>
  <c r="T27" i="5"/>
  <c r="Q27" i="5"/>
  <c r="M27" i="5"/>
  <c r="K27" i="5"/>
  <c r="B27" i="5"/>
  <c r="W26" i="5"/>
  <c r="T26" i="5"/>
  <c r="Q26" i="5"/>
  <c r="M26" i="5"/>
  <c r="K26" i="5"/>
  <c r="B26" i="5"/>
  <c r="W64" i="5"/>
  <c r="W81" i="5"/>
  <c r="W80" i="5"/>
  <c r="W79" i="5"/>
  <c r="W78" i="5"/>
  <c r="W77" i="5"/>
  <c r="W76" i="5"/>
  <c r="W75" i="5"/>
  <c r="W74" i="5"/>
  <c r="W73" i="5"/>
  <c r="W72" i="5"/>
  <c r="W71" i="5"/>
  <c r="W62" i="5"/>
  <c r="W60" i="5"/>
  <c r="W59" i="5"/>
  <c r="W54" i="5"/>
  <c r="W49" i="5"/>
  <c r="W47" i="5"/>
  <c r="W45" i="5"/>
  <c r="W44" i="5"/>
  <c r="W43" i="5"/>
  <c r="W41" i="5"/>
  <c r="W39" i="5"/>
  <c r="W38" i="5"/>
  <c r="W36" i="5"/>
  <c r="W34" i="5"/>
  <c r="W32" i="5"/>
  <c r="W31" i="5"/>
  <c r="W29" i="5"/>
  <c r="W28" i="5"/>
  <c r="W22" i="5"/>
  <c r="W21" i="5"/>
  <c r="W20" i="5"/>
  <c r="W19" i="5"/>
  <c r="W18" i="5"/>
  <c r="W17" i="5"/>
  <c r="W16" i="5"/>
  <c r="W13" i="5"/>
  <c r="W12" i="5"/>
  <c r="W11" i="5"/>
  <c r="W10" i="5"/>
  <c r="W9" i="5"/>
  <c r="Q64" i="5"/>
  <c r="Q62" i="5"/>
  <c r="Q60" i="5"/>
  <c r="Q59" i="5"/>
  <c r="Q54" i="5"/>
  <c r="Q47" i="5"/>
  <c r="Q45" i="5"/>
  <c r="Q44" i="5"/>
  <c r="Q43" i="5"/>
  <c r="Q41" i="5"/>
  <c r="Q39" i="5"/>
  <c r="Q38" i="5"/>
  <c r="Q36" i="5"/>
  <c r="Q34" i="5"/>
  <c r="Q32" i="5"/>
  <c r="Q31" i="5"/>
  <c r="Q29" i="5"/>
  <c r="Q28" i="5"/>
  <c r="Q21" i="5"/>
  <c r="Q20" i="5"/>
  <c r="Q19" i="5"/>
  <c r="Q18" i="5"/>
  <c r="Q17" i="5"/>
  <c r="Q16" i="5"/>
  <c r="Q15" i="5"/>
  <c r="Q13" i="5"/>
  <c r="Q11" i="5"/>
  <c r="Q10" i="5"/>
  <c r="Q9" i="5"/>
  <c r="O90" i="5"/>
  <c r="O91" i="5" s="1"/>
  <c r="N90" i="5"/>
  <c r="N91" i="5" s="1"/>
  <c r="M81" i="5"/>
  <c r="M80" i="5"/>
  <c r="M79" i="5"/>
  <c r="M78" i="5"/>
  <c r="M77" i="5"/>
  <c r="M76" i="5"/>
  <c r="M75" i="5"/>
  <c r="M74" i="5"/>
  <c r="M73" i="5"/>
  <c r="M72" i="5"/>
  <c r="M71" i="5"/>
  <c r="O68" i="5"/>
  <c r="N68" i="5"/>
  <c r="O67" i="5"/>
  <c r="N67" i="5"/>
  <c r="O65" i="5"/>
  <c r="N65" i="5"/>
  <c r="M64" i="5"/>
  <c r="M62" i="5"/>
  <c r="M60" i="5"/>
  <c r="M59" i="5"/>
  <c r="M54" i="5"/>
  <c r="M49" i="5"/>
  <c r="M47" i="5"/>
  <c r="M45" i="5"/>
  <c r="M44" i="5"/>
  <c r="M43" i="5"/>
  <c r="M41" i="5"/>
  <c r="M39" i="5"/>
  <c r="M38" i="5"/>
  <c r="M36" i="5"/>
  <c r="M34" i="5"/>
  <c r="M32" i="5"/>
  <c r="M31" i="5"/>
  <c r="M22" i="5"/>
  <c r="M21" i="5"/>
  <c r="M20" i="5"/>
  <c r="M19" i="5"/>
  <c r="M18" i="5"/>
  <c r="M17" i="5"/>
  <c r="M16" i="5"/>
  <c r="M15" i="5"/>
  <c r="M13" i="5"/>
  <c r="M12" i="5"/>
  <c r="M11" i="5"/>
  <c r="M10" i="5"/>
  <c r="M9" i="5"/>
  <c r="O170" i="5" l="1"/>
  <c r="O168" i="5"/>
  <c r="O166" i="5"/>
  <c r="O164" i="5"/>
  <c r="O114" i="5"/>
  <c r="O112" i="5"/>
  <c r="O110" i="5"/>
  <c r="O108" i="5"/>
  <c r="N170" i="5"/>
  <c r="N168" i="5"/>
  <c r="N166" i="5"/>
  <c r="N164" i="5"/>
  <c r="N114" i="5"/>
  <c r="N112" i="5"/>
  <c r="N110" i="5"/>
  <c r="N108" i="5"/>
  <c r="R109" i="5"/>
  <c r="R113" i="5"/>
  <c r="O169" i="5"/>
  <c r="O167" i="5"/>
  <c r="O165" i="5"/>
  <c r="O163" i="5"/>
  <c r="O113" i="5"/>
  <c r="O111" i="5"/>
  <c r="O109" i="5"/>
  <c r="N107" i="5"/>
  <c r="N169" i="5"/>
  <c r="N167" i="5"/>
  <c r="N165" i="5"/>
  <c r="N163" i="5"/>
  <c r="N113" i="5"/>
  <c r="N111" i="5"/>
  <c r="N109" i="5"/>
  <c r="R114" i="5"/>
  <c r="R112" i="5"/>
  <c r="R110" i="5"/>
  <c r="R108" i="5"/>
  <c r="O107" i="5"/>
  <c r="N158" i="5"/>
  <c r="N102" i="5"/>
  <c r="N97" i="5"/>
  <c r="N156" i="5"/>
  <c r="N104" i="5"/>
  <c r="O154" i="5"/>
  <c r="O159" i="5"/>
  <c r="O156" i="5"/>
  <c r="O104" i="5"/>
  <c r="N99" i="5"/>
  <c r="N154" i="5"/>
  <c r="O103" i="5"/>
  <c r="N103" i="5"/>
  <c r="O99" i="5"/>
  <c r="O157" i="5"/>
  <c r="O98" i="5"/>
  <c r="N157" i="5"/>
  <c r="O155" i="5"/>
  <c r="N101" i="5"/>
  <c r="N155" i="5"/>
  <c r="N100" i="5"/>
  <c r="O160" i="5"/>
  <c r="O153" i="5"/>
  <c r="N98" i="5"/>
  <c r="N160" i="5"/>
  <c r="N153" i="5"/>
  <c r="O100" i="5"/>
  <c r="N159" i="5"/>
  <c r="O101" i="5"/>
  <c r="O158" i="5"/>
  <c r="O102" i="5"/>
  <c r="O97" i="5"/>
  <c r="M68" i="5"/>
  <c r="M67" i="5"/>
  <c r="O69" i="5"/>
  <c r="N69" i="5"/>
  <c r="M65" i="5"/>
  <c r="O115" i="5" l="1"/>
  <c r="N115" i="5"/>
  <c r="N171" i="5"/>
  <c r="O105" i="5"/>
  <c r="O106" i="5" s="1"/>
  <c r="N105" i="5"/>
  <c r="N106" i="5" s="1"/>
  <c r="N161" i="5"/>
  <c r="O171" i="5"/>
  <c r="O161" i="5"/>
  <c r="M69" i="5"/>
  <c r="O117" i="5" l="1"/>
  <c r="O118" i="5" s="1"/>
  <c r="N173" i="5"/>
  <c r="N162" i="5"/>
  <c r="N117" i="5"/>
  <c r="N118" i="5" s="1"/>
  <c r="O162" i="5"/>
  <c r="O173" i="5"/>
  <c r="B41" i="5" l="1"/>
  <c r="B34" i="5"/>
  <c r="K81" i="5" l="1"/>
  <c r="K80" i="5"/>
  <c r="K79" i="5"/>
  <c r="K78" i="5"/>
  <c r="K77" i="5"/>
  <c r="K76" i="5"/>
  <c r="K75" i="5"/>
  <c r="K74" i="5"/>
  <c r="K73" i="5"/>
  <c r="K72" i="5"/>
  <c r="K71" i="5"/>
  <c r="K64" i="5"/>
  <c r="K62" i="5"/>
  <c r="K60" i="5"/>
  <c r="K59" i="5"/>
  <c r="K54" i="5"/>
  <c r="K49" i="5"/>
  <c r="K47" i="5"/>
  <c r="K45" i="5"/>
  <c r="K44" i="5"/>
  <c r="K43" i="5"/>
  <c r="K41" i="5"/>
  <c r="K39" i="5"/>
  <c r="K38" i="5"/>
  <c r="K36" i="5"/>
  <c r="K34" i="5"/>
  <c r="K32" i="5"/>
  <c r="K31" i="5"/>
  <c r="K22" i="5"/>
  <c r="K21" i="5"/>
  <c r="K20" i="5"/>
  <c r="K19" i="5"/>
  <c r="K18" i="5"/>
  <c r="K17" i="5"/>
  <c r="K16" i="5"/>
  <c r="K15" i="5"/>
  <c r="K13" i="5"/>
  <c r="K12" i="5"/>
  <c r="K11" i="5"/>
  <c r="K10" i="5"/>
  <c r="K9" i="5"/>
  <c r="V90" i="5"/>
  <c r="V91" i="5" s="1"/>
  <c r="U90" i="5"/>
  <c r="U91" i="5" s="1"/>
  <c r="R90" i="5"/>
  <c r="P90" i="5"/>
  <c r="P91" i="5" s="1"/>
  <c r="V65" i="5"/>
  <c r="U65" i="5"/>
  <c r="W65" i="5" s="1"/>
  <c r="S65" i="5"/>
  <c r="R65" i="5"/>
  <c r="P65" i="5"/>
  <c r="T34" i="5"/>
  <c r="T41" i="5"/>
  <c r="V197" i="5" l="1"/>
  <c r="V194" i="5"/>
  <c r="U197" i="5"/>
  <c r="U194" i="5"/>
  <c r="O195" i="5"/>
  <c r="O197" i="5"/>
  <c r="O194" i="5"/>
  <c r="N194" i="5"/>
  <c r="N197" i="5"/>
  <c r="V196" i="5"/>
  <c r="V193" i="5"/>
  <c r="U196" i="5"/>
  <c r="U193" i="5"/>
  <c r="O196" i="5"/>
  <c r="O193" i="5"/>
  <c r="N196" i="5"/>
  <c r="N193" i="5"/>
  <c r="V195" i="5"/>
  <c r="U195" i="5"/>
  <c r="N195" i="5"/>
  <c r="V183" i="5"/>
  <c r="U183" i="5"/>
  <c r="O183" i="5"/>
  <c r="N183" i="5"/>
  <c r="V182" i="5"/>
  <c r="U182" i="5"/>
  <c r="O182" i="5"/>
  <c r="N182" i="5"/>
  <c r="V181" i="5"/>
  <c r="V178" i="5"/>
  <c r="U181" i="5"/>
  <c r="U178" i="5"/>
  <c r="O181" i="5"/>
  <c r="O178" i="5"/>
  <c r="N181" i="5"/>
  <c r="N178" i="5"/>
  <c r="V180" i="5"/>
  <c r="U180" i="5"/>
  <c r="O180" i="5"/>
  <c r="N180" i="5"/>
  <c r="V179" i="5"/>
  <c r="O179" i="5"/>
  <c r="U179" i="5"/>
  <c r="N179" i="5"/>
  <c r="V138" i="5"/>
  <c r="U138" i="5"/>
  <c r="O138" i="5"/>
  <c r="N138" i="5"/>
  <c r="V137" i="5"/>
  <c r="U137" i="5"/>
  <c r="O137" i="5"/>
  <c r="N137" i="5"/>
  <c r="V124" i="5"/>
  <c r="U124" i="5"/>
  <c r="O124" i="5"/>
  <c r="N124" i="5"/>
  <c r="V123" i="5"/>
  <c r="U123" i="5"/>
  <c r="O123" i="5"/>
  <c r="N123" i="5"/>
  <c r="V142" i="5"/>
  <c r="V139" i="5"/>
  <c r="U142" i="5"/>
  <c r="U139" i="5"/>
  <c r="O142" i="5"/>
  <c r="O139" i="5"/>
  <c r="N139" i="5"/>
  <c r="N142" i="5"/>
  <c r="V141" i="5"/>
  <c r="O140" i="5"/>
  <c r="U141" i="5"/>
  <c r="O141" i="5"/>
  <c r="N141" i="5"/>
  <c r="V140" i="5"/>
  <c r="U140" i="5"/>
  <c r="N140" i="5"/>
  <c r="V127" i="5"/>
  <c r="V122" i="5"/>
  <c r="U127" i="5"/>
  <c r="U122" i="5"/>
  <c r="O127" i="5"/>
  <c r="O122" i="5"/>
  <c r="N127" i="5"/>
  <c r="N122" i="5"/>
  <c r="V126" i="5"/>
  <c r="U126" i="5"/>
  <c r="O126" i="5"/>
  <c r="N126" i="5"/>
  <c r="V125" i="5"/>
  <c r="U125" i="5"/>
  <c r="O125" i="5"/>
  <c r="N125" i="5"/>
  <c r="U202" i="5"/>
  <c r="N199" i="5"/>
  <c r="U146" i="5"/>
  <c r="N144" i="5"/>
  <c r="O201" i="5"/>
  <c r="O145" i="5"/>
  <c r="O202" i="5"/>
  <c r="V198" i="5"/>
  <c r="O146" i="5"/>
  <c r="V143" i="5"/>
  <c r="U198" i="5"/>
  <c r="N146" i="5"/>
  <c r="U143" i="5"/>
  <c r="N143" i="5"/>
  <c r="V192" i="5"/>
  <c r="V136" i="5"/>
  <c r="U192" i="5"/>
  <c r="N202" i="5"/>
  <c r="V201" i="5"/>
  <c r="O198" i="5"/>
  <c r="V145" i="5"/>
  <c r="O143" i="5"/>
  <c r="N198" i="5"/>
  <c r="U201" i="5"/>
  <c r="V200" i="5"/>
  <c r="O192" i="5"/>
  <c r="O136" i="5"/>
  <c r="U200" i="5"/>
  <c r="N192" i="5"/>
  <c r="N136" i="5"/>
  <c r="V203" i="5"/>
  <c r="U203" i="5"/>
  <c r="N200" i="5"/>
  <c r="U147" i="5"/>
  <c r="O203" i="5"/>
  <c r="V199" i="5"/>
  <c r="O147" i="5"/>
  <c r="V144" i="5"/>
  <c r="U199" i="5"/>
  <c r="N147" i="5"/>
  <c r="U144" i="5"/>
  <c r="N201" i="5"/>
  <c r="U136" i="5"/>
  <c r="O200" i="5"/>
  <c r="V147" i="5"/>
  <c r="N203" i="5"/>
  <c r="V202" i="5"/>
  <c r="O199" i="5"/>
  <c r="V146" i="5"/>
  <c r="O144" i="5"/>
  <c r="U145" i="5"/>
  <c r="N145" i="5"/>
  <c r="U185" i="5"/>
  <c r="U129" i="5"/>
  <c r="V184" i="5"/>
  <c r="U184" i="5"/>
  <c r="V186" i="5"/>
  <c r="V188" i="5"/>
  <c r="O185" i="5"/>
  <c r="V132" i="5"/>
  <c r="O129" i="5"/>
  <c r="U188" i="5"/>
  <c r="O132" i="5"/>
  <c r="U128" i="5"/>
  <c r="U187" i="5"/>
  <c r="V128" i="5"/>
  <c r="N188" i="5"/>
  <c r="V131" i="5"/>
  <c r="O187" i="5"/>
  <c r="V177" i="5"/>
  <c r="O131" i="5"/>
  <c r="V121" i="5"/>
  <c r="N187" i="5"/>
  <c r="U177" i="5"/>
  <c r="N131" i="5"/>
  <c r="U121" i="5"/>
  <c r="U186" i="5"/>
  <c r="N177" i="5"/>
  <c r="U130" i="5"/>
  <c r="N121" i="5"/>
  <c r="V187" i="5"/>
  <c r="N184" i="5"/>
  <c r="U131" i="5"/>
  <c r="O186" i="5"/>
  <c r="O130" i="5"/>
  <c r="N186" i="5"/>
  <c r="N130" i="5"/>
  <c r="O184" i="5"/>
  <c r="O128" i="5"/>
  <c r="N128" i="5"/>
  <c r="O177" i="5"/>
  <c r="V130" i="5"/>
  <c r="O121" i="5"/>
  <c r="V185" i="5"/>
  <c r="V129" i="5"/>
  <c r="N185" i="5"/>
  <c r="U132" i="5"/>
  <c r="N129" i="5"/>
  <c r="O188" i="5"/>
  <c r="N132" i="5"/>
  <c r="V68" i="5"/>
  <c r="U68" i="5"/>
  <c r="S68" i="5"/>
  <c r="R68" i="5"/>
  <c r="P68" i="5"/>
  <c r="P67" i="5"/>
  <c r="R67" i="5"/>
  <c r="S67" i="5"/>
  <c r="U67" i="5"/>
  <c r="V67" i="5"/>
  <c r="O204" i="5" l="1"/>
  <c r="O205" i="5" s="1"/>
  <c r="N189" i="5"/>
  <c r="N190" i="5" s="1"/>
  <c r="O189" i="5"/>
  <c r="O190" i="5" s="1"/>
  <c r="N133" i="5"/>
  <c r="N134" i="5" s="1"/>
  <c r="O148" i="5"/>
  <c r="O149" i="5" s="1"/>
  <c r="O133" i="5"/>
  <c r="O134" i="5" s="1"/>
  <c r="U189" i="5"/>
  <c r="V133" i="5"/>
  <c r="U133" i="5"/>
  <c r="U148" i="5"/>
  <c r="U149" i="5" s="1"/>
  <c r="V189" i="5"/>
  <c r="N148" i="5"/>
  <c r="N149" i="5" s="1"/>
  <c r="N204" i="5"/>
  <c r="N205" i="5" s="1"/>
  <c r="V148" i="5"/>
  <c r="V149" i="5" s="1"/>
  <c r="U204" i="5"/>
  <c r="V204" i="5"/>
  <c r="V69" i="5"/>
  <c r="S69" i="5"/>
  <c r="P69" i="5"/>
  <c r="U69" i="5"/>
  <c r="R69" i="5"/>
  <c r="B64" i="5" l="1"/>
  <c r="B13" i="5"/>
  <c r="B12" i="5"/>
  <c r="B11" i="5"/>
  <c r="B10" i="5"/>
  <c r="B9" i="5"/>
  <c r="B22" i="5"/>
  <c r="B21" i="5"/>
  <c r="B20" i="5"/>
  <c r="B19" i="5"/>
  <c r="B18" i="5"/>
  <c r="B17" i="5"/>
  <c r="B16" i="5"/>
  <c r="B15" i="5"/>
  <c r="B29" i="5"/>
  <c r="B28" i="5"/>
  <c r="B32" i="5"/>
  <c r="B31" i="5"/>
  <c r="B39" i="5"/>
  <c r="B38" i="5"/>
  <c r="B36" i="5"/>
  <c r="B54" i="5"/>
  <c r="B45" i="5"/>
  <c r="B44" i="5"/>
  <c r="B43" i="5"/>
  <c r="B47" i="5"/>
  <c r="B49" i="5"/>
  <c r="B60" i="5"/>
  <c r="B59" i="5"/>
  <c r="B62" i="5"/>
  <c r="B91" i="5"/>
  <c r="T89" i="5" l="1"/>
  <c r="T64" i="5"/>
  <c r="T62" i="5"/>
  <c r="T60" i="5"/>
  <c r="T59" i="5"/>
  <c r="T49" i="5"/>
  <c r="T47" i="5"/>
  <c r="T45" i="5"/>
  <c r="T44" i="5"/>
  <c r="T43" i="5"/>
  <c r="T54" i="5"/>
  <c r="T39" i="5"/>
  <c r="T38" i="5"/>
  <c r="T36" i="5"/>
  <c r="L36" i="5"/>
  <c r="T32" i="5"/>
  <c r="T31" i="5"/>
  <c r="T29" i="5"/>
  <c r="T28" i="5"/>
  <c r="T22" i="5"/>
  <c r="T21" i="5"/>
  <c r="T20" i="5"/>
  <c r="T19" i="5"/>
  <c r="T18" i="5"/>
  <c r="T17" i="5"/>
  <c r="T16" i="5"/>
  <c r="T15" i="5"/>
  <c r="T13" i="5"/>
  <c r="T12" i="5"/>
  <c r="T11" i="5"/>
  <c r="T10" i="5"/>
  <c r="T9" i="5"/>
  <c r="P111" i="5" l="1"/>
  <c r="P108" i="5"/>
  <c r="P112" i="5"/>
  <c r="R165" i="5"/>
  <c r="Q107" i="5"/>
  <c r="Q111" i="5"/>
  <c r="R111" i="5" s="1"/>
  <c r="P167" i="5"/>
  <c r="V166" i="5"/>
  <c r="V167" i="5"/>
  <c r="V165" i="5"/>
  <c r="V111" i="5"/>
  <c r="V107" i="5"/>
  <c r="R167" i="5"/>
  <c r="Q109" i="5"/>
  <c r="V168" i="5"/>
  <c r="U169" i="5"/>
  <c r="U167" i="5"/>
  <c r="U165" i="5"/>
  <c r="U163" i="5"/>
  <c r="U113" i="5"/>
  <c r="U111" i="5"/>
  <c r="U109" i="5"/>
  <c r="U107" i="5"/>
  <c r="R163" i="5"/>
  <c r="Q169" i="5"/>
  <c r="P165" i="5"/>
  <c r="V170" i="5"/>
  <c r="V108" i="5"/>
  <c r="U170" i="5"/>
  <c r="U168" i="5"/>
  <c r="U166" i="5"/>
  <c r="U164" i="5"/>
  <c r="U114" i="5"/>
  <c r="U112" i="5"/>
  <c r="U110" i="5"/>
  <c r="U108" i="5"/>
  <c r="Q163" i="5"/>
  <c r="P169" i="5"/>
  <c r="V112" i="5"/>
  <c r="R170" i="5"/>
  <c r="R168" i="5"/>
  <c r="R166" i="5"/>
  <c r="R164" i="5"/>
  <c r="Q170" i="5"/>
  <c r="Q168" i="5"/>
  <c r="Q166" i="5"/>
  <c r="Q164" i="5"/>
  <c r="Q114" i="5"/>
  <c r="Q112" i="5"/>
  <c r="Q110" i="5"/>
  <c r="Q108" i="5"/>
  <c r="Q165" i="5"/>
  <c r="Q113" i="5"/>
  <c r="P107" i="5"/>
  <c r="P163" i="5"/>
  <c r="P113" i="5"/>
  <c r="P109" i="5"/>
  <c r="V114" i="5"/>
  <c r="V110" i="5"/>
  <c r="P170" i="5"/>
  <c r="P168" i="5"/>
  <c r="P166" i="5"/>
  <c r="P164" i="5"/>
  <c r="P114" i="5"/>
  <c r="P110" i="5"/>
  <c r="V169" i="5"/>
  <c r="V163" i="5"/>
  <c r="V113" i="5"/>
  <c r="V109" i="5"/>
  <c r="R169" i="5"/>
  <c r="Q167" i="5"/>
  <c r="V164" i="5"/>
  <c r="P100" i="5"/>
  <c r="U159" i="5"/>
  <c r="P156" i="5"/>
  <c r="R154" i="5"/>
  <c r="Q104" i="5"/>
  <c r="R99" i="5"/>
  <c r="P98" i="5"/>
  <c r="U98" i="5"/>
  <c r="U155" i="5"/>
  <c r="R101" i="5"/>
  <c r="U160" i="5"/>
  <c r="P99" i="5"/>
  <c r="S159" i="5"/>
  <c r="V157" i="5"/>
  <c r="Q154" i="5"/>
  <c r="V101" i="5"/>
  <c r="U157" i="5"/>
  <c r="P154" i="5"/>
  <c r="V98" i="5"/>
  <c r="S157" i="5"/>
  <c r="V103" i="5"/>
  <c r="P159" i="5"/>
  <c r="S98" i="5"/>
  <c r="Q157" i="5"/>
  <c r="R98" i="5"/>
  <c r="Q160" i="5"/>
  <c r="Q99" i="5"/>
  <c r="Q159" i="5"/>
  <c r="R157" i="5"/>
  <c r="S103" i="5"/>
  <c r="R155" i="5"/>
  <c r="U102" i="5"/>
  <c r="S160" i="5"/>
  <c r="V158" i="5"/>
  <c r="Q155" i="5"/>
  <c r="S153" i="5"/>
  <c r="Q103" i="5"/>
  <c r="V100" i="5"/>
  <c r="V97" i="5"/>
  <c r="R160" i="5"/>
  <c r="U158" i="5"/>
  <c r="P155" i="5"/>
  <c r="R153" i="5"/>
  <c r="V102" i="5"/>
  <c r="U100" i="5"/>
  <c r="U97" i="5"/>
  <c r="P104" i="5"/>
  <c r="P160" i="5"/>
  <c r="R158" i="5"/>
  <c r="U156" i="5"/>
  <c r="P153" i="5"/>
  <c r="V104" i="5"/>
  <c r="S102" i="5"/>
  <c r="R100" i="5"/>
  <c r="S104" i="5"/>
  <c r="Q102" i="5"/>
  <c r="U99" i="5"/>
  <c r="V153" i="5"/>
  <c r="Q98" i="5"/>
  <c r="S158" i="5"/>
  <c r="S97" i="5"/>
  <c r="P103" i="5"/>
  <c r="Q158" i="5"/>
  <c r="S156" i="5"/>
  <c r="V154" i="5"/>
  <c r="U104" i="5"/>
  <c r="R102" i="5"/>
  <c r="V99" i="5"/>
  <c r="Q97" i="5"/>
  <c r="P102" i="5"/>
  <c r="P158" i="5"/>
  <c r="R156" i="5"/>
  <c r="U154" i="5"/>
  <c r="P97" i="5"/>
  <c r="S155" i="5"/>
  <c r="Q101" i="5"/>
  <c r="U153" i="5"/>
  <c r="R97" i="5"/>
  <c r="Q153" i="5"/>
  <c r="S100" i="5"/>
  <c r="P101" i="5"/>
  <c r="V159" i="5"/>
  <c r="Q156" i="5"/>
  <c r="S154" i="5"/>
  <c r="R104" i="5"/>
  <c r="S99" i="5"/>
  <c r="R159" i="5"/>
  <c r="U101" i="5"/>
  <c r="V155" i="5"/>
  <c r="S101" i="5"/>
  <c r="Q100" i="5"/>
  <c r="U103" i="5"/>
  <c r="V160" i="5"/>
  <c r="P157" i="5"/>
  <c r="R103" i="5"/>
  <c r="V156" i="5"/>
  <c r="Q90" i="5"/>
  <c r="Q91" i="5" s="1"/>
  <c r="S91" i="5" s="1"/>
  <c r="T65" i="5"/>
  <c r="T106" i="5" s="1"/>
  <c r="T67" i="5"/>
  <c r="T162" i="5" s="1"/>
  <c r="Q68" i="5"/>
  <c r="T68" i="5"/>
  <c r="S90" i="5"/>
  <c r="U161" i="5" l="1"/>
  <c r="U190" i="5" s="1"/>
  <c r="S108" i="5"/>
  <c r="S107" i="5"/>
  <c r="S112" i="5"/>
  <c r="S111" i="5"/>
  <c r="P115" i="5"/>
  <c r="R161" i="5"/>
  <c r="R162" i="5" s="1"/>
  <c r="V171" i="5"/>
  <c r="V205" i="5" s="1"/>
  <c r="V161" i="5"/>
  <c r="V162" i="5" s="1"/>
  <c r="S161" i="5"/>
  <c r="S162" i="5" s="1"/>
  <c r="V115" i="5"/>
  <c r="S170" i="5"/>
  <c r="S164" i="5"/>
  <c r="P171" i="5"/>
  <c r="S105" i="5"/>
  <c r="S106" i="5" s="1"/>
  <c r="R171" i="5"/>
  <c r="Q161" i="5"/>
  <c r="P105" i="5"/>
  <c r="P106" i="5" s="1"/>
  <c r="U105" i="5"/>
  <c r="U134" i="5" s="1"/>
  <c r="Q171" i="5"/>
  <c r="U115" i="5"/>
  <c r="P161" i="5"/>
  <c r="S109" i="5"/>
  <c r="S113" i="5"/>
  <c r="S114" i="5"/>
  <c r="U171" i="5"/>
  <c r="U205" i="5" s="1"/>
  <c r="S163" i="5"/>
  <c r="R107" i="5"/>
  <c r="R115" i="5" s="1"/>
  <c r="Q115" i="5"/>
  <c r="R105" i="5"/>
  <c r="R106" i="5" s="1"/>
  <c r="S110" i="5"/>
  <c r="Q105" i="5"/>
  <c r="S166" i="5"/>
  <c r="S167" i="5"/>
  <c r="V105" i="5"/>
  <c r="S168" i="5"/>
  <c r="Q65" i="5"/>
  <c r="T69" i="5"/>
  <c r="Q67" i="5"/>
  <c r="Q69" i="5" s="1"/>
  <c r="U162" i="5" l="1"/>
  <c r="R173" i="5"/>
  <c r="V190" i="5"/>
  <c r="V117" i="5"/>
  <c r="V118" i="5" s="1"/>
  <c r="V173" i="5"/>
  <c r="S115" i="5"/>
  <c r="P117" i="5"/>
  <c r="P118" i="5" s="1"/>
  <c r="S171" i="5"/>
  <c r="S173" i="5" s="1"/>
  <c r="U173" i="5"/>
  <c r="U106" i="5"/>
  <c r="Q106" i="5"/>
  <c r="P173" i="5"/>
  <c r="P162" i="5"/>
  <c r="V106" i="5"/>
  <c r="V134" i="5"/>
  <c r="U117" i="5"/>
  <c r="U118" i="5" s="1"/>
  <c r="Q117" i="5"/>
  <c r="Q118" i="5" s="1"/>
  <c r="R117" i="5"/>
  <c r="R118" i="5" s="1"/>
  <c r="Q173" i="5"/>
  <c r="Q162" i="5"/>
  <c r="S117" i="5" l="1"/>
</calcChain>
</file>

<file path=xl/sharedStrings.xml><?xml version="1.0" encoding="utf-8"?>
<sst xmlns="http://schemas.openxmlformats.org/spreadsheetml/2006/main" count="533" uniqueCount="165">
  <si>
    <t>S1500</t>
  </si>
  <si>
    <t>S1590</t>
  </si>
  <si>
    <t>S2240</t>
  </si>
  <si>
    <t>S3000</t>
  </si>
  <si>
    <t>S1600</t>
  </si>
  <si>
    <t>S2345</t>
  </si>
  <si>
    <t>S1596</t>
  </si>
  <si>
    <t>PASSIF</t>
  </si>
  <si>
    <t>ACTIF</t>
  </si>
  <si>
    <t>ETAT DETTE SUR INSTRUMENTS FINANCIERS</t>
  </si>
  <si>
    <t>SOCIETE</t>
  </si>
  <si>
    <t>BANQUE</t>
  </si>
  <si>
    <t>REF</t>
  </si>
  <si>
    <t>PRODUIT</t>
  </si>
  <si>
    <t>DEPART</t>
  </si>
  <si>
    <t>ECHEANCE</t>
  </si>
  <si>
    <t>ANNEE
ECHEANCE</t>
  </si>
  <si>
    <t>NOMINAL DEPART</t>
  </si>
  <si>
    <t>Impact P&amp;L</t>
  </si>
  <si>
    <t>Impact OCI</t>
  </si>
  <si>
    <t>Reclass OCI</t>
  </si>
  <si>
    <t>Ecart de conversion</t>
  </si>
  <si>
    <t>Contrôle</t>
  </si>
  <si>
    <t>SRS</t>
  </si>
  <si>
    <t>SRS - LCL -22215565</t>
  </si>
  <si>
    <t>LCL</t>
  </si>
  <si>
    <t>CAP</t>
  </si>
  <si>
    <t>SRS - LCL -25341747</t>
  </si>
  <si>
    <t>SRS - CICL -542051P</t>
  </si>
  <si>
    <t>CIC</t>
  </si>
  <si>
    <t>542051P</t>
  </si>
  <si>
    <t>SRS - ARKEA -MX2069697V3</t>
  </si>
  <si>
    <t>ARKEA</t>
  </si>
  <si>
    <t>FGSP - 2351992</t>
  </si>
  <si>
    <t>COLLAR</t>
  </si>
  <si>
    <t>FGSP - 642279P</t>
  </si>
  <si>
    <t>642279P</t>
  </si>
  <si>
    <t>646410P</t>
  </si>
  <si>
    <t>647144P</t>
  </si>
  <si>
    <t>SWAP</t>
  </si>
  <si>
    <t>BNP</t>
  </si>
  <si>
    <t>FGSP - BNP 30026532</t>
  </si>
  <si>
    <t>FGSP - BNP 30026535</t>
  </si>
  <si>
    <t>FGSP - 27968006</t>
  </si>
  <si>
    <t>FGSP - IRD6241370</t>
  </si>
  <si>
    <t>SG</t>
  </si>
  <si>
    <t>IRD6241370</t>
  </si>
  <si>
    <t>ARENADOUR - LCL 25197154</t>
  </si>
  <si>
    <t>A</t>
  </si>
  <si>
    <t>ARENADOUR - LCL 25197207</t>
  </si>
  <si>
    <t>S1754</t>
  </si>
  <si>
    <t>SAGESSE</t>
  </si>
  <si>
    <t>SCI LES MAGNOLIAS</t>
  </si>
  <si>
    <t>IRD6082045</t>
  </si>
  <si>
    <t>CM-CIC</t>
  </si>
  <si>
    <t>363454P</t>
  </si>
  <si>
    <t>SEDNA France - 24717902</t>
  </si>
  <si>
    <t>SEDNA France - LCL 25235159</t>
  </si>
  <si>
    <t>SEDNA Santé - CIC 605346P</t>
  </si>
  <si>
    <t>605346P</t>
  </si>
  <si>
    <t>S2348</t>
  </si>
  <si>
    <t xml:space="preserve">SAGESSE - (Nuit de Château) </t>
  </si>
  <si>
    <t>380751P</t>
  </si>
  <si>
    <t>S2351</t>
  </si>
  <si>
    <t xml:space="preserve">SAGESSE - (Sté Hôtel et Cli Journel Ris Orangis) </t>
  </si>
  <si>
    <t>NATIXIS</t>
  </si>
  <si>
    <t>10086959M</t>
  </si>
  <si>
    <t>S2352</t>
  </si>
  <si>
    <t xml:space="preserve">SAGESSE - (Sci d'Orangis) </t>
  </si>
  <si>
    <t>10086958M</t>
  </si>
  <si>
    <t>S2353</t>
  </si>
  <si>
    <t>SAS HOTEL JOURNEL RIS ORANGIS</t>
  </si>
  <si>
    <t>357632P</t>
  </si>
  <si>
    <t>S2356</t>
  </si>
  <si>
    <t>SCI LA BOISSIERE</t>
  </si>
  <si>
    <t>11133774M</t>
  </si>
  <si>
    <t>S8971</t>
  </si>
  <si>
    <t xml:space="preserve">SCI GASTON BOURGEOIS </t>
  </si>
  <si>
    <t>IRD6082046</t>
  </si>
  <si>
    <t>363453P</t>
  </si>
  <si>
    <t>S8974</t>
  </si>
  <si>
    <t>FONCIERE LA SOUSTO</t>
  </si>
  <si>
    <t>380753P</t>
  </si>
  <si>
    <t>S8975</t>
  </si>
  <si>
    <t>FONCIERE LA DEYMARDE</t>
  </si>
  <si>
    <t>380755P</t>
  </si>
  <si>
    <t>EUROS</t>
  </si>
  <si>
    <t>TOTAL EN €UROS</t>
  </si>
  <si>
    <t>S2500</t>
  </si>
  <si>
    <t>Groupe Santé Sedna Inc (28/08/2013)</t>
  </si>
  <si>
    <t>BNC</t>
  </si>
  <si>
    <t>Groupe Santé Sedna Inc (24/01/2014)</t>
  </si>
  <si>
    <t>Groupe Santé Sedna Inc (18/03/2014)</t>
  </si>
  <si>
    <t>Sedna Finance (29/05/2018)</t>
  </si>
  <si>
    <t>Sedna Finance (16/02/2022)</t>
  </si>
  <si>
    <t>DOLLARS</t>
  </si>
  <si>
    <t>TOTAL EN $CAD</t>
  </si>
  <si>
    <t>Instrument couverture de taux en Keuros</t>
  </si>
  <si>
    <t>CONSO SAGESSE</t>
  </si>
  <si>
    <t>Dérivés Actifs France en Keuros</t>
  </si>
  <si>
    <t>dt Swaps</t>
  </si>
  <si>
    <t>dt Cap</t>
  </si>
  <si>
    <t>Dérivés passifs France en Keuros</t>
  </si>
  <si>
    <t>P</t>
  </si>
  <si>
    <t>TOTAL INSTRUMENTS FINANCIERS FR en K€</t>
  </si>
  <si>
    <t>Dérivés Actifs Canada en Keuros</t>
  </si>
  <si>
    <t>Dérivés passifs Canada en Keuros</t>
  </si>
  <si>
    <t>TOTAL INSTRUMENTS FINANCIERS CANADA en K€</t>
  </si>
  <si>
    <t>TOTAL INSTRUMENTS FINANCIERS en K€</t>
  </si>
  <si>
    <t>S1971</t>
  </si>
  <si>
    <t>S1755</t>
  </si>
  <si>
    <t>SCI FONCIERE ESLD BRUNOY</t>
  </si>
  <si>
    <t>CODE</t>
  </si>
  <si>
    <t>Immeuble Champlain 5M (18/11/2022)</t>
  </si>
  <si>
    <t>Immeuble Champlain 9,644M (28/11/2022)</t>
  </si>
  <si>
    <t>Sedna Finance (15/03/2023)</t>
  </si>
  <si>
    <t>Sedna Finance (28/04/2022)</t>
  </si>
  <si>
    <t>Sedna Finance (28/02/2022) - cap/floor</t>
  </si>
  <si>
    <t>21644578*</t>
  </si>
  <si>
    <t>21670709*</t>
  </si>
  <si>
    <t>dt Collar</t>
  </si>
  <si>
    <t>PERIMETRE</t>
  </si>
  <si>
    <t>IMPACT
P&amp;L</t>
  </si>
  <si>
    <t>IMPACT
 OCI</t>
  </si>
  <si>
    <t>RECLASST
 OCI</t>
  </si>
  <si>
    <t>ECART 
CONVERSION</t>
  </si>
  <si>
    <t>CONSO SRSHOLDING</t>
  </si>
  <si>
    <t>714619P</t>
  </si>
  <si>
    <t>713263P</t>
  </si>
  <si>
    <t>SRS - FURTADO -713263P</t>
  </si>
  <si>
    <t>SCI MDR LES CEDRES - CIC -714619P</t>
  </si>
  <si>
    <t>TX CLOTURE 2024</t>
  </si>
  <si>
    <t>TX MOYEN 2024</t>
  </si>
  <si>
    <t>TX OUVERTURE 2024</t>
  </si>
  <si>
    <t>VALO
31/12/2024</t>
  </si>
  <si>
    <t>NOMINAL RESIDUEL
31/12/2024</t>
  </si>
  <si>
    <t>CANNES FRAGONARD</t>
  </si>
  <si>
    <t>BANQUE POSTALE</t>
  </si>
  <si>
    <t>SEDNA France - BNP 28304524</t>
  </si>
  <si>
    <t>ARENADOUR CAPITAL - CIC 791517P</t>
  </si>
  <si>
    <t>ARENADOUR CAPITAL - CIC 791515P</t>
  </si>
  <si>
    <t>791517P</t>
  </si>
  <si>
    <t>791515P</t>
  </si>
  <si>
    <t>SEDNA France - BNP 28304528</t>
  </si>
  <si>
    <t>CA</t>
  </si>
  <si>
    <t>COMMENTAIRE : La couverture est toujours portée par SAGESSE mais tout flux positif ou negatif issu de cette couverture est remboursé ou refacturé à la SCI D'ORANGIS.</t>
  </si>
  <si>
    <t>TD</t>
  </si>
  <si>
    <t>BMO</t>
  </si>
  <si>
    <t>38739149*</t>
  </si>
  <si>
    <t>Sedna Finance Inc</t>
  </si>
  <si>
    <t>EMP</t>
  </si>
  <si>
    <t>SRS - CA</t>
  </si>
  <si>
    <t xml:space="preserve"> CB</t>
  </si>
  <si>
    <t>VALO
30/06/2025</t>
  </si>
  <si>
    <t>NOMINAL RESIDUEL
30/06/2025</t>
  </si>
  <si>
    <t>TX CLOTURE 2025</t>
  </si>
  <si>
    <t>TX MOYEN 2025</t>
  </si>
  <si>
    <t>TX OUVERTURE 2025</t>
  </si>
  <si>
    <t>41712262*</t>
  </si>
  <si>
    <t>SRS - LCL -28902981</t>
  </si>
  <si>
    <t>S1597</t>
  </si>
  <si>
    <t>S1597 - CB</t>
  </si>
  <si>
    <t>CB</t>
  </si>
  <si>
    <t>FONCIERE VILLE D'AVRAY - CIC - 837694P</t>
  </si>
  <si>
    <t>837694P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</si>
</sst>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#,##0;\(#,##0\);\-"/>
    <numFmt numFmtId="167" formatCode="#,###;\ \(#,###\)"/>
    <numFmt numFmtId="168" formatCode="mm/yyyy"/>
    <numFmt numFmtId="169" formatCode="_-* #,##0.00000\ _€_-;\-* #,##0.00000\ _€_-;_-* &quot;-&quot;??\ _€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sz val="12"/>
      <name val="Times New Roman"/>
      <family val="1"/>
    </font>
    <font>
      <sz val="9"/>
      <color theme="8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b/>
      <u/>
      <sz val="9"/>
      <color theme="8" tint="-0.499984740745262"/>
      <name val="Calibri"/>
      <family val="2"/>
      <scheme val="minor"/>
    </font>
    <font>
      <i/>
      <sz val="9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  <font>
      <i/>
      <sz val="9"/>
      <color theme="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9"/>
      <color theme="6" tint="-0.249977111117893"/>
      <name val="Calibri"/>
      <family val="2"/>
      <scheme val="minor"/>
    </font>
    <font>
      <i/>
      <sz val="9"/>
      <color theme="6" tint="-0.249977111117893"/>
      <name val="Calibri"/>
      <family val="2"/>
      <scheme val="minor"/>
    </font>
    <font>
      <b/>
      <sz val="9"/>
      <color theme="6" tint="-0.249977111117893"/>
      <name val="Calibri"/>
      <family val="2"/>
      <scheme val="minor"/>
    </font>
    <font>
      <b/>
      <i/>
      <sz val="9"/>
      <color theme="6" tint="-0.249977111117893"/>
      <name val="Calibri"/>
      <family val="2"/>
      <scheme val="minor"/>
    </font>
    <font>
      <sz val="8"/>
      <name val="Calibri"/>
      <family val="2"/>
      <scheme val="minor"/>
    </font>
    <font>
      <sz val="9"/>
      <color theme="5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rgb="FFFFC000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/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dotted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dotted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dotted">
        <color theme="8" tint="-0.499984740745262"/>
      </top>
      <bottom style="dotted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dotted">
        <color theme="8" tint="-0.499984740745262"/>
      </top>
      <bottom style="dotted">
        <color theme="8" tint="-0.499984740745262"/>
      </bottom>
      <diagonal/>
    </border>
    <border>
      <left style="medium">
        <color theme="8" tint="-0.499984740745262"/>
      </left>
      <right style="thin">
        <color theme="8" tint="-0.499984740745262"/>
      </right>
      <top style="dotted">
        <color theme="8" tint="-0.499984740745262"/>
      </top>
      <bottom style="medium">
        <color theme="8" tint="-0.499984740745262"/>
      </bottom>
      <diagonal/>
    </border>
    <border>
      <left style="thin">
        <color theme="8" tint="-0.499984740745262"/>
      </left>
      <right style="medium">
        <color theme="8" tint="-0.499984740745262"/>
      </right>
      <top style="dotted">
        <color theme="8" tint="-0.499984740745262"/>
      </top>
      <bottom style="medium">
        <color theme="8" tint="-0.499984740745262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0" fontId="1" fillId="0" borderId="0"/>
  </cellStyleXfs>
  <cellXfs count="232">
    <xf numFmtId="0" fontId="0" fillId="0" borderId="0" xfId="0"/>
    <xf numFmtId="0" fontId="4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 wrapText="1"/>
    </xf>
    <xf numFmtId="166" fontId="7" fillId="2" borderId="0" xfId="0" applyNumberFormat="1" applyFont="1" applyFill="1"/>
    <xf numFmtId="166" fontId="7" fillId="2" borderId="0" xfId="4" applyNumberFormat="1" applyFont="1" applyFill="1"/>
    <xf numFmtId="0" fontId="8" fillId="2" borderId="0" xfId="0" applyFont="1" applyFill="1"/>
    <xf numFmtId="0" fontId="12" fillId="2" borderId="0" xfId="0" applyFont="1" applyFill="1"/>
    <xf numFmtId="0" fontId="7" fillId="2" borderId="0" xfId="3" applyFont="1" applyFill="1"/>
    <xf numFmtId="0" fontId="5" fillId="2" borderId="0" xfId="3" applyFont="1" applyFill="1"/>
    <xf numFmtId="166" fontId="7" fillId="2" borderId="0" xfId="3" applyNumberFormat="1" applyFont="1" applyFill="1"/>
    <xf numFmtId="0" fontId="10" fillId="2" borderId="0" xfId="3" applyFont="1" applyFill="1" applyAlignment="1">
      <alignment horizontal="center"/>
    </xf>
    <xf numFmtId="166" fontId="5" fillId="2" borderId="0" xfId="3" applyNumberFormat="1" applyFont="1" applyFill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166" fontId="11" fillId="4" borderId="2" xfId="0" applyNumberFormat="1" applyFont="1" applyFill="1" applyBorder="1" applyAlignment="1">
      <alignment horizontal="center" vertical="center" wrapText="1"/>
    </xf>
    <xf numFmtId="166" fontId="11" fillId="4" borderId="3" xfId="4" applyNumberFormat="1" applyFont="1" applyFill="1" applyBorder="1" applyAlignment="1">
      <alignment horizontal="center" vertical="center" wrapText="1"/>
    </xf>
    <xf numFmtId="166" fontId="11" fillId="4" borderId="3" xfId="3" applyNumberFormat="1" applyFont="1" applyFill="1" applyBorder="1" applyAlignment="1">
      <alignment horizontal="center" vertical="center" wrapText="1"/>
    </xf>
    <xf numFmtId="0" fontId="13" fillId="2" borderId="0" xfId="3" applyFont="1" applyFill="1" applyAlignment="1">
      <alignment horizontal="center" vertical="center" wrapText="1"/>
    </xf>
    <xf numFmtId="0" fontId="7" fillId="2" borderId="4" xfId="3" applyFont="1" applyFill="1" applyBorder="1"/>
    <xf numFmtId="0" fontId="7" fillId="2" borderId="4" xfId="3" applyFont="1" applyFill="1" applyBorder="1" applyAlignment="1">
      <alignment horizontal="left"/>
    </xf>
    <xf numFmtId="14" fontId="7" fillId="2" borderId="4" xfId="3" applyNumberFormat="1" applyFont="1" applyFill="1" applyBorder="1"/>
    <xf numFmtId="166" fontId="7" fillId="2" borderId="4" xfId="4" applyNumberFormat="1" applyFont="1" applyFill="1" applyBorder="1"/>
    <xf numFmtId="166" fontId="7" fillId="3" borderId="4" xfId="4" applyNumberFormat="1" applyFont="1" applyFill="1" applyBorder="1"/>
    <xf numFmtId="0" fontId="10" fillId="2" borderId="0" xfId="3" applyFont="1" applyFill="1" applyAlignment="1">
      <alignment horizontal="center" vertical="center" wrapText="1"/>
    </xf>
    <xf numFmtId="0" fontId="7" fillId="2" borderId="5" xfId="3" applyFont="1" applyFill="1" applyBorder="1"/>
    <xf numFmtId="0" fontId="7" fillId="2" borderId="3" xfId="3" applyFont="1" applyFill="1" applyBorder="1" applyAlignment="1">
      <alignment horizontal="left"/>
    </xf>
    <xf numFmtId="14" fontId="7" fillId="2" borderId="5" xfId="3" applyNumberFormat="1" applyFont="1" applyFill="1" applyBorder="1"/>
    <xf numFmtId="0" fontId="7" fillId="2" borderId="6" xfId="1" applyNumberFormat="1" applyFont="1" applyFill="1" applyBorder="1"/>
    <xf numFmtId="166" fontId="7" fillId="2" borderId="3" xfId="4" applyNumberFormat="1" applyFont="1" applyFill="1" applyBorder="1"/>
    <xf numFmtId="0" fontId="7" fillId="2" borderId="6" xfId="3" applyFont="1" applyFill="1" applyBorder="1"/>
    <xf numFmtId="0" fontId="7" fillId="2" borderId="3" xfId="3" applyFont="1" applyFill="1" applyBorder="1"/>
    <xf numFmtId="166" fontId="7" fillId="2" borderId="3" xfId="1" applyNumberFormat="1" applyFont="1" applyFill="1" applyBorder="1"/>
    <xf numFmtId="14" fontId="7" fillId="2" borderId="6" xfId="3" applyNumberFormat="1" applyFont="1" applyFill="1" applyBorder="1"/>
    <xf numFmtId="14" fontId="7" fillId="2" borderId="3" xfId="3" applyNumberFormat="1" applyFont="1" applyFill="1" applyBorder="1"/>
    <xf numFmtId="0" fontId="7" fillId="2" borderId="3" xfId="0" applyFont="1" applyFill="1" applyBorder="1"/>
    <xf numFmtId="0" fontId="7" fillId="2" borderId="3" xfId="0" applyFont="1" applyFill="1" applyBorder="1" applyAlignment="1">
      <alignment horizontal="left"/>
    </xf>
    <xf numFmtId="14" fontId="7" fillId="2" borderId="3" xfId="0" applyNumberFormat="1" applyFont="1" applyFill="1" applyBorder="1"/>
    <xf numFmtId="0" fontId="5" fillId="2" borderId="0" xfId="3" applyFont="1" applyFill="1" applyAlignment="1">
      <alignment horizontal="center" vertical="center"/>
    </xf>
    <xf numFmtId="166" fontId="7" fillId="3" borderId="3" xfId="4" applyNumberFormat="1" applyFont="1" applyFill="1" applyBorder="1"/>
    <xf numFmtId="166" fontId="7" fillId="2" borderId="5" xfId="4" applyNumberFormat="1" applyFont="1" applyFill="1" applyBorder="1"/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horizontal="left"/>
    </xf>
    <xf numFmtId="14" fontId="7" fillId="2" borderId="0" xfId="3" applyNumberFormat="1" applyFont="1" applyFill="1"/>
    <xf numFmtId="166" fontId="7" fillId="2" borderId="0" xfId="4" applyNumberFormat="1" applyFont="1" applyFill="1" applyBorder="1"/>
    <xf numFmtId="0" fontId="10" fillId="2" borderId="0" xfId="3" applyFont="1" applyFill="1" applyAlignment="1">
      <alignment horizontal="center" vertical="center"/>
    </xf>
    <xf numFmtId="0" fontId="10" fillId="2" borderId="0" xfId="3" applyFont="1" applyFill="1"/>
    <xf numFmtId="0" fontId="10" fillId="2" borderId="10" xfId="4" applyNumberFormat="1" applyFont="1" applyFill="1" applyBorder="1" applyAlignment="1">
      <alignment horizontal="left" indent="4"/>
    </xf>
    <xf numFmtId="166" fontId="10" fillId="2" borderId="0" xfId="4" applyNumberFormat="1" applyFont="1" applyFill="1" applyBorder="1"/>
    <xf numFmtId="0" fontId="10" fillId="2" borderId="11" xfId="3" applyFont="1" applyFill="1" applyBorder="1"/>
    <xf numFmtId="166" fontId="10" fillId="2" borderId="12" xfId="4" applyNumberFormat="1" applyFont="1" applyFill="1" applyBorder="1"/>
    <xf numFmtId="167" fontId="10" fillId="2" borderId="0" xfId="3" applyNumberFormat="1" applyFont="1" applyFill="1" applyAlignment="1">
      <alignment horizontal="center"/>
    </xf>
    <xf numFmtId="166" fontId="7" fillId="2" borderId="0" xfId="4" applyNumberFormat="1" applyFont="1" applyFill="1" applyBorder="1" applyAlignment="1">
      <alignment horizontal="center" vertical="center" wrapText="1"/>
    </xf>
    <xf numFmtId="0" fontId="7" fillId="2" borderId="10" xfId="4" applyNumberFormat="1" applyFont="1" applyFill="1" applyBorder="1"/>
    <xf numFmtId="166" fontId="7" fillId="2" borderId="12" xfId="4" applyNumberFormat="1" applyFont="1" applyFill="1" applyBorder="1"/>
    <xf numFmtId="0" fontId="7" fillId="2" borderId="10" xfId="3" applyFont="1" applyFill="1" applyBorder="1"/>
    <xf numFmtId="166" fontId="10" fillId="2" borderId="16" xfId="4" applyNumberFormat="1" applyFont="1" applyFill="1" applyBorder="1"/>
    <xf numFmtId="0" fontId="5" fillId="2" borderId="17" xfId="3" applyFont="1" applyFill="1" applyBorder="1"/>
    <xf numFmtId="0" fontId="5" fillId="2" borderId="18" xfId="3" applyFont="1" applyFill="1" applyBorder="1"/>
    <xf numFmtId="166" fontId="5" fillId="2" borderId="18" xfId="3" applyNumberFormat="1" applyFont="1" applyFill="1" applyBorder="1"/>
    <xf numFmtId="166" fontId="5" fillId="2" borderId="18" xfId="4" applyNumberFormat="1" applyFont="1" applyFill="1" applyBorder="1"/>
    <xf numFmtId="166" fontId="5" fillId="2" borderId="19" xfId="4" applyNumberFormat="1" applyFont="1" applyFill="1" applyBorder="1"/>
    <xf numFmtId="166" fontId="7" fillId="2" borderId="12" xfId="3" applyNumberFormat="1" applyFont="1" applyFill="1" applyBorder="1"/>
    <xf numFmtId="168" fontId="7" fillId="2" borderId="10" xfId="3" applyNumberFormat="1" applyFont="1" applyFill="1" applyBorder="1" applyAlignment="1">
      <alignment horizontal="right"/>
    </xf>
    <xf numFmtId="0" fontId="5" fillId="2" borderId="10" xfId="3" applyFont="1" applyFill="1" applyBorder="1"/>
    <xf numFmtId="166" fontId="5" fillId="2" borderId="20" xfId="4" applyNumberFormat="1" applyFont="1" applyFill="1" applyBorder="1"/>
    <xf numFmtId="166" fontId="5" fillId="2" borderId="21" xfId="4" applyNumberFormat="1" applyFont="1" applyFill="1" applyBorder="1"/>
    <xf numFmtId="166" fontId="7" fillId="2" borderId="10" xfId="4" applyNumberFormat="1" applyFont="1" applyFill="1" applyBorder="1"/>
    <xf numFmtId="166" fontId="5" fillId="2" borderId="12" xfId="4" applyNumberFormat="1" applyFont="1" applyFill="1" applyBorder="1"/>
    <xf numFmtId="0" fontId="5" fillId="2" borderId="24" xfId="3" applyFont="1" applyFill="1" applyBorder="1"/>
    <xf numFmtId="0" fontId="5" fillId="2" borderId="11" xfId="3" applyFont="1" applyFill="1" applyBorder="1"/>
    <xf numFmtId="0" fontId="7" fillId="2" borderId="11" xfId="3" applyFont="1" applyFill="1" applyBorder="1"/>
    <xf numFmtId="168" fontId="7" fillId="2" borderId="11" xfId="3" applyNumberFormat="1" applyFont="1" applyFill="1" applyBorder="1"/>
    <xf numFmtId="166" fontId="7" fillId="2" borderId="11" xfId="3" applyNumberFormat="1" applyFont="1" applyFill="1" applyBorder="1"/>
    <xf numFmtId="166" fontId="7" fillId="2" borderId="16" xfId="4" applyNumberFormat="1" applyFont="1" applyFill="1" applyBorder="1"/>
    <xf numFmtId="166" fontId="7" fillId="2" borderId="24" xfId="4" applyNumberFormat="1" applyFont="1" applyFill="1" applyBorder="1"/>
    <xf numFmtId="166" fontId="7" fillId="2" borderId="11" xfId="4" applyNumberFormat="1" applyFont="1" applyFill="1" applyBorder="1"/>
    <xf numFmtId="0" fontId="7" fillId="2" borderId="0" xfId="4" applyNumberFormat="1" applyFont="1" applyFill="1" applyBorder="1"/>
    <xf numFmtId="0" fontId="10" fillId="2" borderId="0" xfId="4" applyNumberFormat="1" applyFont="1" applyFill="1" applyBorder="1" applyAlignment="1">
      <alignment horizontal="left" indent="4"/>
    </xf>
    <xf numFmtId="168" fontId="7" fillId="2" borderId="0" xfId="3" applyNumberFormat="1" applyFont="1" applyFill="1" applyAlignment="1">
      <alignment horizontal="right"/>
    </xf>
    <xf numFmtId="0" fontId="9" fillId="2" borderId="0" xfId="0" applyFont="1" applyFill="1" applyAlignment="1">
      <alignment horizontal="center" vertical="center" wrapText="1"/>
    </xf>
    <xf numFmtId="0" fontId="7" fillId="5" borderId="7" xfId="3" applyFont="1" applyFill="1" applyBorder="1"/>
    <xf numFmtId="0" fontId="7" fillId="5" borderId="4" xfId="3" applyFont="1" applyFill="1" applyBorder="1"/>
    <xf numFmtId="0" fontId="7" fillId="5" borderId="4" xfId="3" applyFont="1" applyFill="1" applyBorder="1" applyAlignment="1">
      <alignment horizontal="left"/>
    </xf>
    <xf numFmtId="14" fontId="7" fillId="5" borderId="4" xfId="3" applyNumberFormat="1" applyFont="1" applyFill="1" applyBorder="1"/>
    <xf numFmtId="0" fontId="7" fillId="5" borderId="4" xfId="1" applyNumberFormat="1" applyFont="1" applyFill="1" applyBorder="1"/>
    <xf numFmtId="166" fontId="7" fillId="5" borderId="4" xfId="4" applyNumberFormat="1" applyFont="1" applyFill="1" applyBorder="1"/>
    <xf numFmtId="0" fontId="7" fillId="2" borderId="6" xfId="0" applyFont="1" applyFill="1" applyBorder="1"/>
    <xf numFmtId="0" fontId="7" fillId="2" borderId="6" xfId="0" applyFont="1" applyFill="1" applyBorder="1" applyAlignment="1">
      <alignment horizontal="left"/>
    </xf>
    <xf numFmtId="14" fontId="7" fillId="2" borderId="6" xfId="0" applyNumberFormat="1" applyFont="1" applyFill="1" applyBorder="1"/>
    <xf numFmtId="166" fontId="7" fillId="2" borderId="6" xfId="1" applyNumberFormat="1" applyFont="1" applyFill="1" applyBorder="1"/>
    <xf numFmtId="0" fontId="5" fillId="2" borderId="25" xfId="3" applyFont="1" applyFill="1" applyBorder="1" applyAlignment="1">
      <alignment horizontal="center" vertical="center"/>
    </xf>
    <xf numFmtId="14" fontId="5" fillId="2" borderId="25" xfId="3" applyNumberFormat="1" applyFont="1" applyFill="1" applyBorder="1" applyAlignment="1">
      <alignment horizontal="center" vertical="center"/>
    </xf>
    <xf numFmtId="166" fontId="5" fillId="2" borderId="25" xfId="4" applyNumberFormat="1" applyFont="1" applyFill="1" applyBorder="1" applyAlignment="1">
      <alignment horizontal="center" vertical="center"/>
    </xf>
    <xf numFmtId="0" fontId="7" fillId="2" borderId="25" xfId="3" applyFont="1" applyFill="1" applyBorder="1" applyAlignment="1">
      <alignment horizontal="center" vertical="center"/>
    </xf>
    <xf numFmtId="14" fontId="7" fillId="2" borderId="25" xfId="3" applyNumberFormat="1" applyFont="1" applyFill="1" applyBorder="1" applyAlignment="1">
      <alignment horizontal="center" vertical="center"/>
    </xf>
    <xf numFmtId="166" fontId="7" fillId="2" borderId="25" xfId="3" applyNumberFormat="1" applyFont="1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14" fontId="12" fillId="2" borderId="9" xfId="3" applyNumberFormat="1" applyFont="1" applyFill="1" applyBorder="1" applyAlignment="1">
      <alignment horizontal="center" vertical="center"/>
    </xf>
    <xf numFmtId="166" fontId="12" fillId="2" borderId="9" xfId="4" applyNumberFormat="1" applyFont="1" applyFill="1" applyBorder="1" applyAlignment="1">
      <alignment horizontal="center" vertical="center"/>
    </xf>
    <xf numFmtId="166" fontId="12" fillId="2" borderId="3" xfId="4" applyNumberFormat="1" applyFont="1" applyFill="1" applyBorder="1" applyAlignment="1">
      <alignment horizontal="center" vertical="center"/>
    </xf>
    <xf numFmtId="166" fontId="4" fillId="2" borderId="0" xfId="4" applyNumberFormat="1" applyFont="1" applyFill="1"/>
    <xf numFmtId="0" fontId="14" fillId="2" borderId="0" xfId="3" applyFont="1" applyFill="1" applyAlignment="1">
      <alignment horizontal="center" vertical="center" wrapText="1"/>
    </xf>
    <xf numFmtId="0" fontId="4" fillId="2" borderId="0" xfId="3" applyFont="1" applyFill="1"/>
    <xf numFmtId="0" fontId="5" fillId="2" borderId="25" xfId="3" applyFont="1" applyFill="1" applyBorder="1" applyAlignment="1">
      <alignment horizontal="right" vertical="center"/>
    </xf>
    <xf numFmtId="0" fontId="12" fillId="2" borderId="3" xfId="3" applyFont="1" applyFill="1" applyBorder="1" applyAlignment="1">
      <alignment horizontal="right" vertical="center"/>
    </xf>
    <xf numFmtId="166" fontId="10" fillId="2" borderId="0" xfId="3" applyNumberFormat="1" applyFont="1" applyFill="1"/>
    <xf numFmtId="166" fontId="9" fillId="2" borderId="0" xfId="0" applyNumberFormat="1" applyFont="1" applyFill="1" applyAlignment="1">
      <alignment horizontal="center" vertical="center" wrapText="1"/>
    </xf>
    <xf numFmtId="166" fontId="7" fillId="2" borderId="12" xfId="3" applyNumberFormat="1" applyFont="1" applyFill="1" applyBorder="1" applyAlignment="1">
      <alignment horizontal="center" vertical="center" wrapText="1"/>
    </xf>
    <xf numFmtId="168" fontId="7" fillId="2" borderId="0" xfId="3" applyNumberFormat="1" applyFont="1" applyFill="1"/>
    <xf numFmtId="166" fontId="10" fillId="2" borderId="0" xfId="3" applyNumberFormat="1" applyFont="1" applyFill="1" applyAlignment="1">
      <alignment horizontal="center"/>
    </xf>
    <xf numFmtId="0" fontId="4" fillId="2" borderId="10" xfId="3" applyFont="1" applyFill="1" applyBorder="1"/>
    <xf numFmtId="166" fontId="4" fillId="2" borderId="0" xfId="3" applyNumberFormat="1" applyFont="1" applyFill="1"/>
    <xf numFmtId="166" fontId="4" fillId="2" borderId="0" xfId="4" applyNumberFormat="1" applyFont="1" applyFill="1" applyBorder="1"/>
    <xf numFmtId="0" fontId="14" fillId="2" borderId="0" xfId="3" applyFont="1" applyFill="1" applyAlignment="1">
      <alignment horizontal="center"/>
    </xf>
    <xf numFmtId="0" fontId="5" fillId="2" borderId="0" xfId="3" applyFont="1" applyFill="1" applyAlignment="1">
      <alignment horizontal="right" vertical="center"/>
    </xf>
    <xf numFmtId="14" fontId="5" fillId="2" borderId="0" xfId="3" applyNumberFormat="1" applyFont="1" applyFill="1" applyAlignment="1">
      <alignment horizontal="center" vertical="center"/>
    </xf>
    <xf numFmtId="166" fontId="5" fillId="2" borderId="0" xfId="4" applyNumberFormat="1" applyFont="1" applyFill="1" applyBorder="1" applyAlignment="1">
      <alignment horizontal="center" vertical="center"/>
    </xf>
    <xf numFmtId="166" fontId="5" fillId="3" borderId="0" xfId="4" applyNumberFormat="1" applyFont="1" applyFill="1" applyBorder="1" applyAlignment="1">
      <alignment horizontal="center" vertical="center"/>
    </xf>
    <xf numFmtId="166" fontId="4" fillId="2" borderId="15" xfId="4" applyNumberFormat="1" applyFont="1" applyFill="1" applyBorder="1"/>
    <xf numFmtId="0" fontId="7" fillId="2" borderId="13" xfId="3" applyFont="1" applyFill="1" applyBorder="1"/>
    <xf numFmtId="0" fontId="7" fillId="2" borderId="14" xfId="3" applyFont="1" applyFill="1" applyBorder="1"/>
    <xf numFmtId="166" fontId="7" fillId="2" borderId="14" xfId="3" applyNumberFormat="1" applyFont="1" applyFill="1" applyBorder="1"/>
    <xf numFmtId="166" fontId="7" fillId="2" borderId="14" xfId="1" applyNumberFormat="1" applyFont="1" applyFill="1" applyBorder="1"/>
    <xf numFmtId="166" fontId="7" fillId="2" borderId="15" xfId="1" applyNumberFormat="1" applyFont="1" applyFill="1" applyBorder="1"/>
    <xf numFmtId="0" fontId="5" fillId="2" borderId="13" xfId="3" applyFont="1" applyFill="1" applyBorder="1"/>
    <xf numFmtId="166" fontId="5" fillId="2" borderId="22" xfId="4" applyNumberFormat="1" applyFont="1" applyFill="1" applyBorder="1"/>
    <xf numFmtId="166" fontId="5" fillId="2" borderId="26" xfId="4" applyNumberFormat="1" applyFont="1" applyFill="1" applyBorder="1"/>
    <xf numFmtId="166" fontId="5" fillId="2" borderId="23" xfId="4" applyNumberFormat="1" applyFont="1" applyFill="1" applyBorder="1"/>
    <xf numFmtId="0" fontId="4" fillId="2" borderId="13" xfId="3" applyFont="1" applyFill="1" applyBorder="1"/>
    <xf numFmtId="0" fontId="4" fillId="2" borderId="14" xfId="3" applyFont="1" applyFill="1" applyBorder="1"/>
    <xf numFmtId="166" fontId="4" fillId="2" borderId="14" xfId="3" applyNumberFormat="1" applyFont="1" applyFill="1" applyBorder="1"/>
    <xf numFmtId="166" fontId="4" fillId="2" borderId="14" xfId="1" applyNumberFormat="1" applyFont="1" applyFill="1" applyBorder="1"/>
    <xf numFmtId="166" fontId="4" fillId="2" borderId="15" xfId="1" applyNumberFormat="1" applyFont="1" applyFill="1" applyBorder="1"/>
    <xf numFmtId="166" fontId="5" fillId="2" borderId="0" xfId="4" applyNumberFormat="1" applyFont="1" applyFill="1" applyBorder="1"/>
    <xf numFmtId="166" fontId="4" fillId="2" borderId="0" xfId="1" applyNumberFormat="1" applyFont="1" applyFill="1"/>
    <xf numFmtId="0" fontId="15" fillId="2" borderId="0" xfId="0" applyFont="1" applyFill="1"/>
    <xf numFmtId="169" fontId="15" fillId="2" borderId="0" xfId="1" applyNumberFormat="1" applyFont="1" applyFill="1"/>
    <xf numFmtId="166" fontId="16" fillId="2" borderId="0" xfId="3" applyNumberFormat="1" applyFont="1" applyFill="1" applyAlignment="1">
      <alignment horizontal="center"/>
    </xf>
    <xf numFmtId="0" fontId="17" fillId="2" borderId="0" xfId="3" applyFont="1" applyFill="1" applyAlignment="1">
      <alignment horizontal="right" vertical="center"/>
    </xf>
    <xf numFmtId="0" fontId="17" fillId="2" borderId="3" xfId="3" applyFont="1" applyFill="1" applyBorder="1"/>
    <xf numFmtId="0" fontId="17" fillId="2" borderId="0" xfId="3" applyFont="1" applyFill="1" applyAlignment="1">
      <alignment horizontal="center" vertical="center"/>
    </xf>
    <xf numFmtId="14" fontId="17" fillId="2" borderId="0" xfId="3" applyNumberFormat="1" applyFont="1" applyFill="1" applyAlignment="1">
      <alignment horizontal="center" vertical="center"/>
    </xf>
    <xf numFmtId="166" fontId="17" fillId="2" borderId="0" xfId="4" applyNumberFormat="1" applyFont="1" applyFill="1" applyBorder="1" applyAlignment="1">
      <alignment horizontal="center" vertical="center"/>
    </xf>
    <xf numFmtId="166" fontId="17" fillId="3" borderId="3" xfId="4" applyNumberFormat="1" applyFont="1" applyFill="1" applyBorder="1" applyAlignment="1">
      <alignment horizontal="center" vertical="center"/>
    </xf>
    <xf numFmtId="0" fontId="18" fillId="2" borderId="0" xfId="3" applyFont="1" applyFill="1" applyAlignment="1">
      <alignment horizontal="center" vertical="center" wrapText="1"/>
    </xf>
    <xf numFmtId="0" fontId="17" fillId="2" borderId="0" xfId="0" applyFont="1" applyFill="1"/>
    <xf numFmtId="0" fontId="17" fillId="2" borderId="0" xfId="3" applyFont="1" applyFill="1"/>
    <xf numFmtId="0" fontId="17" fillId="2" borderId="3" xfId="0" applyFont="1" applyFill="1" applyBorder="1"/>
    <xf numFmtId="166" fontId="17" fillId="2" borderId="0" xfId="3" applyNumberFormat="1" applyFont="1" applyFill="1"/>
    <xf numFmtId="166" fontId="17" fillId="3" borderId="6" xfId="4" applyNumberFormat="1" applyFont="1" applyFill="1" applyBorder="1" applyAlignment="1">
      <alignment horizontal="center" vertical="center"/>
    </xf>
    <xf numFmtId="0" fontId="19" fillId="2" borderId="0" xfId="3" applyFont="1" applyFill="1"/>
    <xf numFmtId="0" fontId="19" fillId="2" borderId="0" xfId="0" applyFont="1" applyFill="1"/>
    <xf numFmtId="166" fontId="19" fillId="2" borderId="0" xfId="3" applyNumberFormat="1" applyFont="1" applyFill="1"/>
    <xf numFmtId="166" fontId="19" fillId="3" borderId="25" xfId="4" applyNumberFormat="1" applyFont="1" applyFill="1" applyBorder="1" applyAlignment="1">
      <alignment horizontal="center" vertical="center"/>
    </xf>
    <xf numFmtId="0" fontId="20" fillId="2" borderId="0" xfId="3" applyFont="1" applyFill="1" applyAlignment="1">
      <alignment horizontal="center" vertical="center" wrapText="1"/>
    </xf>
    <xf numFmtId="165" fontId="5" fillId="3" borderId="25" xfId="1" applyNumberFormat="1" applyFont="1" applyFill="1" applyBorder="1" applyAlignment="1">
      <alignment horizontal="center" vertical="center"/>
    </xf>
    <xf numFmtId="0" fontId="4" fillId="2" borderId="5" xfId="3" applyFont="1" applyFill="1" applyBorder="1"/>
    <xf numFmtId="0" fontId="4" fillId="2" borderId="3" xfId="3" applyFont="1" applyFill="1" applyBorder="1" applyAlignment="1">
      <alignment horizontal="left"/>
    </xf>
    <xf numFmtId="0" fontId="4" fillId="2" borderId="6" xfId="1" applyNumberFormat="1" applyFont="1" applyFill="1" applyBorder="1"/>
    <xf numFmtId="166" fontId="4" fillId="2" borderId="3" xfId="4" applyNumberFormat="1" applyFont="1" applyFill="1" applyBorder="1"/>
    <xf numFmtId="166" fontId="4" fillId="3" borderId="3" xfId="4" applyNumberFormat="1" applyFont="1" applyFill="1" applyBorder="1"/>
    <xf numFmtId="166" fontId="4" fillId="2" borderId="5" xfId="4" applyNumberFormat="1" applyFont="1" applyFill="1" applyBorder="1"/>
    <xf numFmtId="166" fontId="4" fillId="2" borderId="3" xfId="1" applyNumberFormat="1" applyFont="1" applyFill="1" applyBorder="1"/>
    <xf numFmtId="0" fontId="4" fillId="2" borderId="3" xfId="3" applyFont="1" applyFill="1" applyBorder="1"/>
    <xf numFmtId="166" fontId="7" fillId="7" borderId="3" xfId="4" applyNumberFormat="1" applyFont="1" applyFill="1" applyBorder="1"/>
    <xf numFmtId="166" fontId="7" fillId="8" borderId="3" xfId="4" applyNumberFormat="1" applyFont="1" applyFill="1" applyBorder="1"/>
    <xf numFmtId="166" fontId="7" fillId="7" borderId="5" xfId="4" applyNumberFormat="1" applyFont="1" applyFill="1" applyBorder="1"/>
    <xf numFmtId="14" fontId="4" fillId="2" borderId="3" xfId="3" applyNumberFormat="1" applyFont="1" applyFill="1" applyBorder="1"/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4" fontId="4" fillId="2" borderId="3" xfId="0" applyNumberFormat="1" applyFont="1" applyFill="1" applyBorder="1"/>
    <xf numFmtId="0" fontId="10" fillId="0" borderId="0" xfId="3" applyFont="1" applyAlignment="1">
      <alignment horizontal="center" vertical="center" wrapText="1"/>
    </xf>
    <xf numFmtId="166" fontId="4" fillId="0" borderId="3" xfId="4" applyNumberFormat="1" applyFont="1" applyFill="1" applyBorder="1"/>
    <xf numFmtId="166" fontId="7" fillId="0" borderId="3" xfId="4" applyNumberFormat="1" applyFont="1" applyFill="1" applyBorder="1"/>
    <xf numFmtId="0" fontId="22" fillId="2" borderId="3" xfId="3" applyFont="1" applyFill="1" applyBorder="1"/>
    <xf numFmtId="166" fontId="22" fillId="0" borderId="3" xfId="4" applyNumberFormat="1" applyFont="1" applyFill="1" applyBorder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14" fontId="4" fillId="0" borderId="3" xfId="0" applyNumberFormat="1" applyFont="1" applyBorder="1"/>
    <xf numFmtId="0" fontId="4" fillId="0" borderId="6" xfId="1" applyNumberFormat="1" applyFont="1" applyFill="1" applyBorder="1"/>
    <xf numFmtId="166" fontId="4" fillId="0" borderId="3" xfId="1" applyNumberFormat="1" applyFont="1" applyFill="1" applyBorder="1"/>
    <xf numFmtId="166" fontId="4" fillId="3" borderId="6" xfId="4" applyNumberFormat="1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14" fontId="4" fillId="2" borderId="6" xfId="3" applyNumberFormat="1" applyFont="1" applyFill="1" applyBorder="1"/>
    <xf numFmtId="0" fontId="4" fillId="2" borderId="8" xfId="1" applyNumberFormat="1" applyFont="1" applyFill="1" applyBorder="1"/>
    <xf numFmtId="166" fontId="4" fillId="2" borderId="8" xfId="4" applyNumberFormat="1" applyFont="1" applyFill="1" applyBorder="1"/>
    <xf numFmtId="166" fontId="4" fillId="2" borderId="6" xfId="4" applyNumberFormat="1" applyFont="1" applyFill="1" applyBorder="1"/>
    <xf numFmtId="166" fontId="4" fillId="0" borderId="6" xfId="4" applyNumberFormat="1" applyFont="1" applyFill="1" applyBorder="1"/>
    <xf numFmtId="0" fontId="4" fillId="0" borderId="6" xfId="3" applyFont="1" applyBorder="1"/>
    <xf numFmtId="0" fontId="7" fillId="10" borderId="3" xfId="3" applyFont="1" applyFill="1" applyBorder="1"/>
    <xf numFmtId="0" fontId="7" fillId="10" borderId="3" xfId="3" applyFont="1" applyFill="1" applyBorder="1" applyAlignment="1">
      <alignment horizontal="left"/>
    </xf>
    <xf numFmtId="14" fontId="7" fillId="10" borderId="3" xfId="3" applyNumberFormat="1" applyFont="1" applyFill="1" applyBorder="1"/>
    <xf numFmtId="0" fontId="7" fillId="10" borderId="6" xfId="1" applyNumberFormat="1" applyFont="1" applyFill="1" applyBorder="1"/>
    <xf numFmtId="166" fontId="7" fillId="10" borderId="3" xfId="4" applyNumberFormat="1" applyFont="1" applyFill="1" applyBorder="1"/>
    <xf numFmtId="166" fontId="7" fillId="11" borderId="3" xfId="4" applyNumberFormat="1" applyFont="1" applyFill="1" applyBorder="1"/>
    <xf numFmtId="166" fontId="7" fillId="10" borderId="5" xfId="4" applyNumberFormat="1" applyFont="1" applyFill="1" applyBorder="1"/>
    <xf numFmtId="0" fontId="7" fillId="10" borderId="3" xfId="1" applyNumberFormat="1" applyFont="1" applyFill="1" applyBorder="1"/>
    <xf numFmtId="0" fontId="7" fillId="10" borderId="7" xfId="1" applyNumberFormat="1" applyFont="1" applyFill="1" applyBorder="1"/>
    <xf numFmtId="166" fontId="7" fillId="10" borderId="7" xfId="4" applyNumberFormat="1" applyFont="1" applyFill="1" applyBorder="1"/>
    <xf numFmtId="0" fontId="7" fillId="10" borderId="6" xfId="3" applyFont="1" applyFill="1" applyBorder="1"/>
    <xf numFmtId="0" fontId="7" fillId="10" borderId="6" xfId="3" applyFont="1" applyFill="1" applyBorder="1" applyAlignment="1">
      <alignment horizontal="left"/>
    </xf>
    <xf numFmtId="14" fontId="7" fillId="10" borderId="6" xfId="3" applyNumberFormat="1" applyFont="1" applyFill="1" applyBorder="1"/>
    <xf numFmtId="0" fontId="7" fillId="10" borderId="8" xfId="1" applyNumberFormat="1" applyFont="1" applyFill="1" applyBorder="1"/>
    <xf numFmtId="166" fontId="7" fillId="10" borderId="8" xfId="4" applyNumberFormat="1" applyFont="1" applyFill="1" applyBorder="1"/>
    <xf numFmtId="166" fontId="7" fillId="10" borderId="6" xfId="4" applyNumberFormat="1" applyFont="1" applyFill="1" applyBorder="1"/>
    <xf numFmtId="166" fontId="7" fillId="11" borderId="6" xfId="4" applyNumberFormat="1" applyFont="1" applyFill="1" applyBorder="1"/>
    <xf numFmtId="0" fontId="7" fillId="12" borderId="3" xfId="0" applyFont="1" applyFill="1" applyBorder="1"/>
    <xf numFmtId="0" fontId="7" fillId="12" borderId="3" xfId="0" applyFont="1" applyFill="1" applyBorder="1" applyAlignment="1">
      <alignment horizontal="left"/>
    </xf>
    <xf numFmtId="14" fontId="7" fillId="12" borderId="3" xfId="0" applyNumberFormat="1" applyFont="1" applyFill="1" applyBorder="1"/>
    <xf numFmtId="0" fontId="7" fillId="12" borderId="6" xfId="1" applyNumberFormat="1" applyFont="1" applyFill="1" applyBorder="1"/>
    <xf numFmtId="166" fontId="7" fillId="12" borderId="3" xfId="1" applyNumberFormat="1" applyFont="1" applyFill="1" applyBorder="1"/>
    <xf numFmtId="166" fontId="7" fillId="12" borderId="3" xfId="4" applyNumberFormat="1" applyFont="1" applyFill="1" applyBorder="1"/>
    <xf numFmtId="166" fontId="7" fillId="9" borderId="3" xfId="4" applyNumberFormat="1" applyFont="1" applyFill="1" applyBorder="1"/>
    <xf numFmtId="166" fontId="7" fillId="12" borderId="5" xfId="4" applyNumberFormat="1" applyFont="1" applyFill="1" applyBorder="1"/>
    <xf numFmtId="166" fontId="7" fillId="2" borderId="27" xfId="4" applyNumberFormat="1" applyFont="1" applyFill="1" applyBorder="1"/>
    <xf numFmtId="166" fontId="7" fillId="2" borderId="28" xfId="4" applyNumberFormat="1" applyFont="1" applyFill="1" applyBorder="1"/>
    <xf numFmtId="166" fontId="7" fillId="2" borderId="29" xfId="4" applyNumberFormat="1" applyFont="1" applyFill="1" applyBorder="1"/>
    <xf numFmtId="166" fontId="7" fillId="2" borderId="30" xfId="4" applyNumberFormat="1" applyFont="1" applyFill="1" applyBorder="1"/>
    <xf numFmtId="166" fontId="7" fillId="2" borderId="31" xfId="4" applyNumberFormat="1" applyFont="1" applyFill="1" applyBorder="1"/>
    <xf numFmtId="166" fontId="7" fillId="2" borderId="32" xfId="4" applyNumberFormat="1" applyFont="1" applyFill="1" applyBorder="1"/>
    <xf numFmtId="0" fontId="7" fillId="5" borderId="9" xfId="3" applyFont="1" applyFill="1" applyBorder="1"/>
    <xf numFmtId="0" fontId="7" fillId="5" borderId="9" xfId="1" applyNumberFormat="1" applyFont="1" applyFill="1" applyBorder="1"/>
    <xf numFmtId="0" fontId="5" fillId="2" borderId="0" xfId="3" applyFont="1" applyFill="1" applyAlignment="1">
      <alignment horizont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right" vertical="center"/>
    </xf>
    <xf numFmtId="166" fontId="7" fillId="3" borderId="2" xfId="4" applyNumberFormat="1" applyFont="1" applyFill="1" applyBorder="1" applyAlignment="1">
      <alignment horizontal="right" vertical="center"/>
    </xf>
  </cellXfs>
  <cellStyles count="7">
    <cellStyle name="Milliers" xfId="1" builtinId="3"/>
    <cellStyle name="Milliers 12" xfId="4" xr:uid="{00000000-0005-0000-0000-000001000000}"/>
    <cellStyle name="Normal" xfId="0" builtinId="0"/>
    <cellStyle name="Normal 10" xfId="2" xr:uid="{00000000-0005-0000-0000-000003000000}"/>
    <cellStyle name="Normal 10 2" xfId="5" xr:uid="{00000000-0005-0000-0000-000004000000}"/>
    <cellStyle name="Normal 2 2" xfId="6" xr:uid="{A11CB225-EAEF-49B1-A9BE-7D843A97F49E}"/>
    <cellStyle name="Normal 22" xfId="3" xr:uid="{00000000-0005-0000-0000-000005000000}"/>
  </cellStyles>
  <dxfs count="6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CCFF"/>
      <color rgb="FFE35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R$\Utilitaires\Boucles%20d'immo%20P10\Boucle%20Immobilisations%202008-2009%20Nouveau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andra\2009%209%20mois\TR-1%202009%209%20mois\Fichiers%20individuels\Jean%20XXIII\Jean%20XXIII%20-%20Reporting%20Financier%202009-%20Mensuel%20P6-%20format%20Sedn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andra\2009%209%20mois\TR-3%202009%209%20mois\Fichiers%20individuels\Jean%20XXIII\Jean%20XXIII%20-%20Reporting%20Financier%202009-%20Mensuel%20P12-%20format%20Sedn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flux%20de%20tr&#233;sorerie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andra\2011\TR-4-2011\Fichiers%20individuels\GC\Boucle%20Immobilisations%202012%20tr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exandra\2009%209%20mois\TR-3%202009%209%20mois\Fichiers%20individuels\GC\Boucle%20Immobilisations%202009-2010%20tr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apports%20r&#233;gionaux\Administration%20G&#233;n&#233;rale\Regroup&#233;\2007\Trimestre%204\$%20Clinique-Fonct%20Regroup&#233;%202007%20tr4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Groupe\SRS\Direction_Finance\REPORTING%20CONSOLIDATION\2025\COMPTES%20CONSOLIDES\0%20-%20TX%20CHANGE\2025-06-30%20-%20GLOBAL%20-%20Taux%20de%20change.xlsx" TargetMode="External"/><Relationship Id="rId1" Type="http://schemas.openxmlformats.org/officeDocument/2006/relationships/externalLinkPath" Target="/Groupe/SRS/Direction_Finance/REPORTING%20CONSOLIDATION/2025/COMPTES%20CONSOLIDES/0%20-%20TX%20CHANGE/2025-06-30%20-%20GLOBAL%20-%20Taux%20de%20chang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CYR\Mes%20documents\autres\r&#233;f&#233;rences\provision%20mvais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es%20Documents\GSS%20conso\r&#233;sultats%202010\TR3\GC\Clinique-Fonct%20Regroup&#233;%202011%20T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iers\commun-centre\Francine\Budgets%202010%20calendrier\Master%202010\Budgets%202010%20Mast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egemont\Desktop\2021-12-31%20-%20SRSH%20-%20Endettement%20Financier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binets\Services%20financiers\Clients%20SCF\Spingola\Mai%202005\Matrice%20budg&#233;taire%209%20mai%202005%20version%20avr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no&#238;t\Template%20Deloitte\Template%20&#233;valuation%209%20mai%202008%20-%20franca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PPORTS%20FINANCIERS\Clinique%20Fonctionnement\Clinique-Font%20trimestriel\$%20Clinique-Fonct%20Trimestri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iers\commun-centre\Comptabilit&#233;\BUDGET%20ANN&#201;E%20CIVILE%202010\Budgets%20&#201;tablissements\Donn&#233;es%20Budgets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 Trim 3"/>
      <sheetName val="2009 Trim 4"/>
      <sheetName val="Param"/>
    </sheetNames>
    <sheetDataSet>
      <sheetData sheetId="0" refreshError="1"/>
      <sheetData sheetId="1" refreshError="1"/>
      <sheetData sheetId="2" refreshError="1">
        <row r="3">
          <cell r="B3">
            <v>39725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 Périodes"/>
      <sheetName val="Réel Réel Période"/>
      <sheetName val="non utilisé1"/>
      <sheetName val="Réel budget Période"/>
      <sheetName val="Réel Budget Trim ajusté"/>
      <sheetName val="Réel Budget Trimestre sauf"/>
      <sheetName val="Réel Budget Trim sauf ajusté"/>
      <sheetName val="Réel budget Trim"/>
      <sheetName val="Réel budget Cumul"/>
      <sheetName val="non utilisé 2"/>
      <sheetName val="Réel Réel Cumul ajusté"/>
      <sheetName val="Réel Réel Sauf Cumul"/>
      <sheetName val="Réel Réel Sauf Cumul ajusté"/>
      <sheetName val="non utilisé 3"/>
      <sheetName val="Sheet2"/>
      <sheetName val="Réel Residence Maison Période"/>
      <sheetName val="Réel Residence Maison Trim"/>
      <sheetName val="Réel Residence Maison cumul"/>
      <sheetName val="Sheet1"/>
      <sheetName val="Réel Réel Cumul"/>
    </sheetNames>
    <sheetDataSet>
      <sheetData sheetId="0" refreshError="1">
        <row r="3">
          <cell r="F3">
            <v>31</v>
          </cell>
        </row>
        <row r="4">
          <cell r="E4">
            <v>28</v>
          </cell>
          <cell r="F4">
            <v>59</v>
          </cell>
        </row>
        <row r="5">
          <cell r="E5">
            <v>31</v>
          </cell>
          <cell r="F5">
            <v>90</v>
          </cell>
        </row>
        <row r="6">
          <cell r="E6">
            <v>30</v>
          </cell>
          <cell r="F6">
            <v>120</v>
          </cell>
        </row>
        <row r="7">
          <cell r="E7">
            <v>31</v>
          </cell>
          <cell r="F7">
            <v>151</v>
          </cell>
        </row>
        <row r="8">
          <cell r="E8">
            <v>30</v>
          </cell>
          <cell r="F8">
            <v>181</v>
          </cell>
        </row>
        <row r="9">
          <cell r="E9">
            <v>31</v>
          </cell>
          <cell r="F9">
            <v>212</v>
          </cell>
        </row>
        <row r="10">
          <cell r="E10">
            <v>31</v>
          </cell>
          <cell r="F10">
            <v>243</v>
          </cell>
        </row>
        <row r="11">
          <cell r="E11">
            <v>30</v>
          </cell>
          <cell r="F11">
            <v>273</v>
          </cell>
        </row>
        <row r="12">
          <cell r="E12">
            <v>31</v>
          </cell>
          <cell r="F12">
            <v>304</v>
          </cell>
        </row>
        <row r="13">
          <cell r="E13">
            <v>30</v>
          </cell>
          <cell r="F13">
            <v>334</v>
          </cell>
        </row>
        <row r="14">
          <cell r="E14">
            <v>31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 Périodes"/>
      <sheetName val="Réel Réel Période"/>
      <sheetName val="non utilisé1"/>
      <sheetName val="Réel Réel Trim"/>
      <sheetName val="Réel Réel Cumul"/>
      <sheetName val="Réel Réel Cumul 9 mois"/>
      <sheetName val="Réel budget Période"/>
      <sheetName val="Réel Budget Trim ajusté"/>
      <sheetName val="Réel Budget Trimestre sauf"/>
      <sheetName val="Réel Budget Trim sauf ajusté"/>
      <sheetName val="Réel budget Trim"/>
      <sheetName val="Réel budget Cumul"/>
      <sheetName val="non utilisé 2"/>
      <sheetName val="Réel Réel Cumul ajusté"/>
      <sheetName val="Réel Réel Sauf Cumul"/>
      <sheetName val="Réel Réel Sauf Cumul ajusté"/>
      <sheetName val="non utilisé 3"/>
      <sheetName val="Réel budget Cumul 9 mois"/>
      <sheetName val="Réel Residence Maison Période"/>
      <sheetName val="Réel Residence Maison Trim"/>
      <sheetName val="Réel Residence Maison cumul"/>
      <sheetName val="Sheet2"/>
      <sheetName val="Sheet4"/>
      <sheetName val="Sheet5"/>
      <sheetName val="Sheet3"/>
      <sheetName val="Sheet1"/>
      <sheetName val="Réel budget-478 Trim"/>
    </sheetNames>
    <sheetDataSet>
      <sheetData sheetId="0" refreshError="1">
        <row r="14">
          <cell r="F14">
            <v>365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èle"/>
      <sheetName val="Data"/>
    </sheetNames>
    <sheetDataSet>
      <sheetData sheetId="0" refreshError="1"/>
      <sheetData sheetId="1" refreshError="1">
        <row r="1">
          <cell r="B1" t="b">
            <v>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1 Trim 1"/>
      <sheetName val="2011 Trim 2"/>
      <sheetName val="2011 Trim 3"/>
      <sheetName val="2011 Trim 4"/>
      <sheetName val="2012 Trim 1"/>
      <sheetName val="2012 Trim 2"/>
      <sheetName val="2012 Trim 3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>
        <row r="3">
          <cell r="B3">
            <v>40633</v>
          </cell>
        </row>
        <row r="4">
          <cell r="B4">
            <v>40705</v>
          </cell>
        </row>
        <row r="7">
          <cell r="B7">
            <v>40999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 Trim 4"/>
      <sheetName val="2010 Trim 1"/>
      <sheetName val="2010 Trim 2"/>
      <sheetName val="2010 Trim 3"/>
      <sheetName val="Pa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B5">
            <v>40089</v>
          </cell>
        </row>
        <row r="6">
          <cell r="B6">
            <v>40178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 Périodes"/>
      <sheetName val="Réel Budget Trimest"/>
      <sheetName val="Réel Réel Trimest"/>
      <sheetName val="Réel Budget Cumul"/>
      <sheetName val="Réel Réel Cumul"/>
      <sheetName val="Groupe"/>
      <sheetName val="Groupe avant"/>
      <sheetName val="Groupe sauf"/>
      <sheetName val="Groupe saufQ"/>
      <sheetName val="Acquisitions"/>
      <sheetName val="Centre Adm"/>
      <sheetName val="Marie-Victorin"/>
      <sheetName val="Beloeil"/>
      <sheetName val="Villeray"/>
      <sheetName val="Chateauguay"/>
      <sheetName val="Jean-Louis Lapierre"/>
      <sheetName val="Gatineau"/>
      <sheetName val="Le Chateau"/>
      <sheetName val="Gouin"/>
      <sheetName val="St-Francois"/>
      <sheetName val="Rive-Sud"/>
      <sheetName val="Des Montagnes"/>
      <sheetName val="Villa Soleil"/>
      <sheetName val="Assomption"/>
      <sheetName val="Chanoine Audet"/>
      <sheetName val="Maison Blanche"/>
      <sheetName val="Pavillon Ste-Marie"/>
      <sheetName val="Validation Groupe"/>
      <sheetName val="validation Établiss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>
        <row r="12">
          <cell r="E12">
            <v>275</v>
          </cell>
        </row>
        <row r="15">
          <cell r="E15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stat_Export_5385698"/>
    </sheetNames>
    <sheetDataSet>
      <sheetData sheetId="0">
        <row r="10">
          <cell r="D10">
            <v>1.6027</v>
          </cell>
        </row>
        <row r="11">
          <cell r="D11">
            <v>1.5400359999999995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èle"/>
      <sheetName val="Data"/>
    </sheetNames>
    <sheetDataSet>
      <sheetData sheetId="0" refreshError="1"/>
      <sheetData sheetId="1" refreshError="1">
        <row r="1">
          <cell r="B1" t="b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el Budget Trimestre"/>
      <sheetName val="Réel Réel Trimestre"/>
      <sheetName val="Réel Budget Cumul"/>
      <sheetName val="Réel Réel Cumul"/>
      <sheetName val="Réel Budget Trimestre DP"/>
      <sheetName val="Réel Budget Cumul  DP"/>
      <sheetName val="Impact DP"/>
      <sheetName val="Conso avant"/>
      <sheetName val="conso"/>
      <sheetName val="0001"/>
      <sheetName val="9991"/>
      <sheetName val="3191"/>
      <sheetName val="4151"/>
      <sheetName val="Immeuble"/>
      <sheetName val="Groupe"/>
      <sheetName val="Groupe avant"/>
      <sheetName val="Groupe saufP"/>
      <sheetName val="Groupe sauf Ex"/>
      <sheetName val="Groupe sauf DP"/>
      <sheetName val="Acquisitions"/>
      <sheetName val="Centre Adm"/>
      <sheetName val="Marie-Victorin"/>
      <sheetName val="Beloeil"/>
      <sheetName val="Villeray"/>
      <sheetName val="Châteauguay"/>
      <sheetName val="Jean-Louis Lapierre"/>
      <sheetName val="Gatineau"/>
      <sheetName val="Le Château"/>
      <sheetName val="Gouin"/>
      <sheetName val="St-François"/>
      <sheetName val="Rive-Sud"/>
      <sheetName val="Des Montagnes"/>
      <sheetName val="Villa Soleil"/>
      <sheetName val="L'Assomption"/>
      <sheetName val="Chanoine-Audet"/>
      <sheetName val="Maison Blanche"/>
      <sheetName val="Pavillon Ste-Marie"/>
      <sheetName val="Des Pommetiers"/>
      <sheetName val="Les Ex"/>
      <sheetName val="Somme"/>
      <sheetName val="Preuve"/>
      <sheetName val="Validation Groupe"/>
      <sheetName val="valide $ Trim Établis"/>
      <sheetName val="valide $ cumul Établis"/>
      <sheetName val="valide Budget Période Établiss"/>
      <sheetName val="valide Budget Cumul Établiss"/>
      <sheetName val="pwd"/>
      <sheetName val="valide $ AA Cumul"/>
      <sheetName val="Feuil1"/>
      <sheetName val="pour Somme J K"/>
      <sheetName val="Dates Péri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35">
          <cell r="AE35">
            <v>2010</v>
          </cell>
        </row>
        <row r="36">
          <cell r="AE36" t="str">
            <v>Trimestre 2</v>
          </cell>
        </row>
        <row r="37">
          <cell r="AE37">
            <v>40342</v>
          </cell>
        </row>
        <row r="38">
          <cell r="AE38">
            <v>40453</v>
          </cell>
        </row>
        <row r="39">
          <cell r="AE39">
            <v>112</v>
          </cell>
        </row>
        <row r="41">
          <cell r="AE41">
            <v>40179</v>
          </cell>
        </row>
        <row r="42">
          <cell r="AE42">
            <v>40453</v>
          </cell>
        </row>
        <row r="43">
          <cell r="AE43">
            <v>275</v>
          </cell>
        </row>
        <row r="45">
          <cell r="AE45">
            <v>2009</v>
          </cell>
        </row>
        <row r="47">
          <cell r="AE47">
            <v>112</v>
          </cell>
        </row>
        <row r="48">
          <cell r="AE48">
            <v>276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Résumé"/>
      <sheetName val="Sommaire"/>
      <sheetName val="Soins"/>
      <sheetName val="Infections nosocomiales"/>
      <sheetName val="Dir Serv Cliniques"/>
      <sheetName val="Pharmacie"/>
      <sheetName val="Diététiste"/>
      <sheetName val="Physio"/>
      <sheetName val="Ergo"/>
      <sheetName val="Loisirs"/>
      <sheetName val="Psychologie"/>
      <sheetName val="Pastorale"/>
      <sheetName val="Alimentation"/>
      <sheetName val="Buanderie"/>
      <sheetName val="Entretien Vêtements Résidents"/>
      <sheetName val="Entretien Ménager"/>
      <sheetName val="722-0"/>
      <sheetName val="722-1"/>
      <sheetName val="722-3"/>
      <sheetName val="722-4"/>
      <sheetName val="722-5"/>
      <sheetName val="Direction générale"/>
      <sheetName val="Informatique"/>
      <sheetName val="Immobilier"/>
      <sheetName val="Adm du Personnel"/>
      <sheetName val="Achats"/>
      <sheetName val="Finances"/>
      <sheetName val="Paie"/>
      <sheetName val="Archives"/>
      <sheetName val="Mini-bus"/>
      <sheetName val="Fonct des Installations"/>
      <sheetName val="Sécurité"/>
      <sheetName val="Messageries"/>
      <sheetName val="Entretien des Installations"/>
      <sheetName val="Lits additionnels"/>
      <sheetName val="Autres Act Comm"/>
      <sheetName val="850"/>
      <sheetName val="880"/>
      <sheetName val="900"/>
      <sheetName val="901"/>
      <sheetName val="902"/>
      <sheetName val="903"/>
      <sheetName val="933"/>
      <sheetName val="Cie - 725"/>
      <sheetName val="Cie - 730"/>
      <sheetName val="Cie - 745"/>
      <sheetName val="Cie - 760"/>
      <sheetName val="Cie - 770"/>
      <sheetName val="Validation avec sommaire"/>
      <sheetName val="722"/>
      <sheetName val="Validation 722"/>
      <sheetName val="Répartition périodique"/>
      <sheetName val="Centre Activités"/>
      <sheetName val="Sommaire M"/>
      <sheetName val="Résumé Mensualisé"/>
      <sheetName val="Feuil1"/>
      <sheetName val="Feuil2"/>
      <sheetName val="Valider Résumé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>
        <row r="10">
          <cell r="C10">
            <v>158</v>
          </cell>
          <cell r="D10">
            <v>117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>
        <row r="10">
          <cell r="D10">
            <v>43677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"/>
      <sheetName val="CONSOLIDATION"/>
      <sheetName val="BFC - ENDETTEMENT"/>
      <sheetName val="CANADA - ENDETTEMENT"/>
      <sheetName val="PROGEFI - ENDETTEMENT"/>
      <sheetName val="EXTRACT BFC"/>
      <sheetName val="BFC - ENDETTEMENT Liens"/>
      <sheetName val="PROGEFI - ENDETTEMENT Liens"/>
      <sheetName val="CANADA - ENDETTEMENT - Liens"/>
      <sheetName val="SYNTHESE ENDETTEMENT"/>
      <sheetName val="ANALYSE COUVERTURE"/>
      <sheetName val="INSTRUMENTS DE COUVERTURE"/>
      <sheetName val="LISTE"/>
    </sheetNames>
    <sheetDataSet>
      <sheetData sheetId="0">
        <row r="1">
          <cell r="B1">
            <v>1.5632999999999999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S1580</v>
          </cell>
        </row>
        <row r="4">
          <cell r="B4" t="str">
            <v>S0010</v>
          </cell>
        </row>
        <row r="5">
          <cell r="B5" t="str">
            <v>S1000</v>
          </cell>
        </row>
        <row r="6">
          <cell r="B6" t="str">
            <v>S1100</v>
          </cell>
        </row>
        <row r="7">
          <cell r="B7" t="str">
            <v>S1200</v>
          </cell>
        </row>
        <row r="8">
          <cell r="B8" t="str">
            <v>S1300</v>
          </cell>
        </row>
        <row r="9">
          <cell r="B9" t="str">
            <v>S1400</v>
          </cell>
        </row>
        <row r="10">
          <cell r="B10" t="str">
            <v>S1500</v>
          </cell>
        </row>
        <row r="11">
          <cell r="B11" t="str">
            <v>S1501</v>
          </cell>
        </row>
        <row r="12">
          <cell r="B12" t="str">
            <v>S1502</v>
          </cell>
        </row>
        <row r="13">
          <cell r="B13" t="str">
            <v>S1562</v>
          </cell>
        </row>
        <row r="14">
          <cell r="B14" t="str">
            <v>S1590</v>
          </cell>
        </row>
        <row r="15">
          <cell r="B15" t="str">
            <v>S1592</v>
          </cell>
        </row>
        <row r="16">
          <cell r="B16" t="str">
            <v>S1593</v>
          </cell>
        </row>
        <row r="17">
          <cell r="B17" t="str">
            <v>S1594</v>
          </cell>
        </row>
        <row r="18">
          <cell r="B18" t="str">
            <v>S1600</v>
          </cell>
        </row>
        <row r="19">
          <cell r="B19" t="str">
            <v>S1601</v>
          </cell>
        </row>
        <row r="20">
          <cell r="B20" t="str">
            <v>S1602</v>
          </cell>
        </row>
        <row r="21">
          <cell r="B21" t="str">
            <v>S1603</v>
          </cell>
        </row>
        <row r="22">
          <cell r="B22" t="str">
            <v>S1604</v>
          </cell>
        </row>
        <row r="23">
          <cell r="B23" t="str">
            <v>S1605</v>
          </cell>
        </row>
        <row r="24">
          <cell r="B24" t="str">
            <v>S1606</v>
          </cell>
        </row>
        <row r="25">
          <cell r="B25" t="str">
            <v>S1607</v>
          </cell>
        </row>
        <row r="26">
          <cell r="B26" t="str">
            <v>S1608</v>
          </cell>
        </row>
        <row r="27">
          <cell r="B27" t="str">
            <v>S1690</v>
          </cell>
        </row>
        <row r="28">
          <cell r="B28" t="str">
            <v>S1730</v>
          </cell>
        </row>
        <row r="29">
          <cell r="B29" t="str">
            <v>S1731</v>
          </cell>
        </row>
        <row r="30">
          <cell r="B30" t="str">
            <v>S1733</v>
          </cell>
        </row>
        <row r="31">
          <cell r="B31" t="str">
            <v>S1740</v>
          </cell>
        </row>
        <row r="32">
          <cell r="B32" t="str">
            <v>S1752</v>
          </cell>
        </row>
        <row r="33">
          <cell r="B33" t="str">
            <v>S1753</v>
          </cell>
        </row>
        <row r="34">
          <cell r="B34" t="str">
            <v>S1754</v>
          </cell>
        </row>
        <row r="35">
          <cell r="B35" t="str">
            <v>S1755</v>
          </cell>
        </row>
        <row r="36">
          <cell r="B36" t="str">
            <v>S1757</v>
          </cell>
        </row>
        <row r="37">
          <cell r="B37" t="str">
            <v>S1960</v>
          </cell>
        </row>
        <row r="38">
          <cell r="B38" t="str">
            <v>S1970</v>
          </cell>
        </row>
        <row r="39">
          <cell r="B39" t="str">
            <v>S1971</v>
          </cell>
        </row>
        <row r="40">
          <cell r="B40" t="str">
            <v>S1972</v>
          </cell>
        </row>
        <row r="41">
          <cell r="B41" t="str">
            <v>S1980</v>
          </cell>
        </row>
        <row r="42">
          <cell r="B42" t="str">
            <v>S2020</v>
          </cell>
        </row>
        <row r="43">
          <cell r="B43" t="str">
            <v>S2060</v>
          </cell>
        </row>
        <row r="44">
          <cell r="B44" t="str">
            <v>S2120</v>
          </cell>
        </row>
        <row r="45">
          <cell r="B45" t="str">
            <v>S2180</v>
          </cell>
        </row>
        <row r="46">
          <cell r="B46" t="str">
            <v>S2240</v>
          </cell>
        </row>
        <row r="47">
          <cell r="B47" t="str">
            <v>S2241</v>
          </cell>
        </row>
        <row r="48">
          <cell r="B48" t="str">
            <v>S2242</v>
          </cell>
        </row>
        <row r="49">
          <cell r="B49" t="str">
            <v>S2243</v>
          </cell>
        </row>
        <row r="50">
          <cell r="B50" t="str">
            <v>S2244</v>
          </cell>
        </row>
        <row r="51">
          <cell r="B51" t="str">
            <v>S2245</v>
          </cell>
        </row>
        <row r="52">
          <cell r="B52" t="str">
            <v>S2246</v>
          </cell>
        </row>
        <row r="53">
          <cell r="B53" t="str">
            <v>S2247</v>
          </cell>
        </row>
        <row r="54">
          <cell r="B54" t="str">
            <v>S2248</v>
          </cell>
        </row>
        <row r="55">
          <cell r="B55" t="str">
            <v>S2249</v>
          </cell>
        </row>
        <row r="56">
          <cell r="B56" t="str">
            <v>S2250</v>
          </cell>
        </row>
        <row r="57">
          <cell r="B57" t="str">
            <v>S2251</v>
          </cell>
        </row>
        <row r="58">
          <cell r="B58" t="str">
            <v>S2252</v>
          </cell>
        </row>
        <row r="59">
          <cell r="B59" t="str">
            <v>S2253</v>
          </cell>
        </row>
        <row r="60">
          <cell r="B60" t="str">
            <v>S2340</v>
          </cell>
        </row>
        <row r="61">
          <cell r="B61" t="str">
            <v>S2341</v>
          </cell>
        </row>
        <row r="62">
          <cell r="B62" t="str">
            <v>S2342</v>
          </cell>
        </row>
        <row r="63">
          <cell r="B63" t="str">
            <v>S2343</v>
          </cell>
        </row>
        <row r="64">
          <cell r="B64" t="str">
            <v>S2344</v>
          </cell>
        </row>
        <row r="65">
          <cell r="B65" t="str">
            <v>S2345</v>
          </cell>
        </row>
        <row r="66">
          <cell r="B66" t="str">
            <v>S2348</v>
          </cell>
        </row>
        <row r="67">
          <cell r="B67" t="str">
            <v>S2349</v>
          </cell>
        </row>
        <row r="68">
          <cell r="B68" t="str">
            <v>S2350</v>
          </cell>
        </row>
        <row r="69">
          <cell r="B69" t="str">
            <v>S2351</v>
          </cell>
        </row>
        <row r="70">
          <cell r="B70" t="str">
            <v>S2352</v>
          </cell>
        </row>
        <row r="71">
          <cell r="B71" t="str">
            <v>S2353</v>
          </cell>
        </row>
        <row r="72">
          <cell r="B72" t="str">
            <v>S2354</v>
          </cell>
        </row>
        <row r="73">
          <cell r="B73" t="str">
            <v>S2356</v>
          </cell>
        </row>
        <row r="74">
          <cell r="B74" t="str">
            <v>S2357</v>
          </cell>
        </row>
        <row r="75">
          <cell r="B75" t="str">
            <v>S2360</v>
          </cell>
        </row>
        <row r="76">
          <cell r="B76" t="str">
            <v>S2361</v>
          </cell>
        </row>
        <row r="77">
          <cell r="B77" t="str">
            <v>S2363</v>
          </cell>
        </row>
        <row r="78">
          <cell r="B78" t="str">
            <v>S2365</v>
          </cell>
        </row>
        <row r="79">
          <cell r="B79" t="str">
            <v>S2400</v>
          </cell>
        </row>
        <row r="80">
          <cell r="B80" t="str">
            <v>S2500</v>
          </cell>
        </row>
        <row r="81">
          <cell r="B81" t="str">
            <v>S2600</v>
          </cell>
        </row>
        <row r="82">
          <cell r="B82" t="str">
            <v>S3040</v>
          </cell>
        </row>
        <row r="83">
          <cell r="B83" t="str">
            <v>S4000</v>
          </cell>
        </row>
        <row r="84">
          <cell r="B84" t="str">
            <v>S8948</v>
          </cell>
        </row>
        <row r="85">
          <cell r="B85" t="str">
            <v>S8950</v>
          </cell>
        </row>
        <row r="86">
          <cell r="B86" t="str">
            <v>S8967</v>
          </cell>
        </row>
        <row r="87">
          <cell r="B87" t="str">
            <v>S8970</v>
          </cell>
        </row>
        <row r="88">
          <cell r="B88" t="str">
            <v>S8971</v>
          </cell>
        </row>
        <row r="89">
          <cell r="B89" t="str">
            <v>S8974</v>
          </cell>
        </row>
        <row r="90">
          <cell r="B90" t="str">
            <v>S8975</v>
          </cell>
        </row>
        <row r="91">
          <cell r="B91" t="str">
            <v>S8976</v>
          </cell>
        </row>
        <row r="92">
          <cell r="B92" t="str">
            <v>S8980</v>
          </cell>
        </row>
        <row r="93">
          <cell r="B93" t="str">
            <v>S8981</v>
          </cell>
        </row>
        <row r="94">
          <cell r="B94" t="str">
            <v>S8982</v>
          </cell>
        </row>
        <row r="95">
          <cell r="B95" t="str">
            <v>S8983</v>
          </cell>
        </row>
        <row r="96">
          <cell r="B96" t="str">
            <v>S8984</v>
          </cell>
        </row>
        <row r="97">
          <cell r="B97" t="str">
            <v>S8985</v>
          </cell>
        </row>
        <row r="98">
          <cell r="B98" t="str">
            <v>S9100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Menu_util"/>
      <sheetName val="Preuve"/>
      <sheetName val="Encai. &amp; débour."/>
      <sheetName val="Info"/>
      <sheetName val="Info 2"/>
      <sheetName val="P et F"/>
      <sheetName val="Titre"/>
      <sheetName val="Table"/>
      <sheetName val="Résultats"/>
      <sheetName val="B.N.R. - som."/>
      <sheetName val="Bilan - som."/>
      <sheetName val="Evol. Flux Tres."/>
      <sheetName val="Notes"/>
      <sheetName val="CDV - sommaire"/>
      <sheetName val="Frais de vente - sommaire"/>
      <sheetName val="Administration - sommaire"/>
      <sheetName val="R&amp;D - sommaire"/>
      <sheetName val="Financiers - sommaire"/>
      <sheetName val="Amortissement - sommaire"/>
      <sheetName val="Fonds de roulement"/>
      <sheetName val="Résultats - périodique"/>
      <sheetName val="B.N.R. - périodique"/>
      <sheetName val="Bilan"/>
      <sheetName val="Produit # 1 - sommaire"/>
      <sheetName val="Produit # 2 - sommaire"/>
      <sheetName val="Produit # 3 - sommaire"/>
      <sheetName val="Produit # 4 - sommaire"/>
      <sheetName val="Produit # 5 - sommaire"/>
      <sheetName val="Produit # 6 - sommaire"/>
      <sheetName val="Produit # 7 - sommaire"/>
      <sheetName val="CDV"/>
      <sheetName val="Produit # 1"/>
      <sheetName val="Produit # 2"/>
      <sheetName val="Produit # 3"/>
      <sheetName val="Produit # 4"/>
      <sheetName val="Produit # 5"/>
      <sheetName val="Produit # 6"/>
      <sheetName val="Produit # 7"/>
      <sheetName val="Frais de vente"/>
      <sheetName val="Administration"/>
      <sheetName val="R&amp;D"/>
      <sheetName val="Financiers"/>
      <sheetName val="Amortissement"/>
      <sheetName val="Salaires sommaire"/>
      <sheetName val="Salaires saisie données"/>
      <sheetName val="Prêts existants"/>
      <sheetName val="Nouv. prêt"/>
      <sheetName val="Prêts sub. existants"/>
      <sheetName val="Nouv. prêt sub."/>
      <sheetName val="Immob"/>
      <sheetName val="li 1"/>
      <sheetName val="immo1"/>
      <sheetName val="li 2"/>
      <sheetName val="immo2"/>
      <sheetName val="li 3"/>
      <sheetName val="immo3"/>
      <sheetName val="li 4"/>
      <sheetName val="immo4"/>
      <sheetName val="li 5"/>
      <sheetName val="immo5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upont_formulas"/>
      <sheetName val="VÉRIFICATION"/>
      <sheetName val="TITRE"/>
      <sheetName val="JVM"/>
      <sheetName val="RESTRICTIONS"/>
      <sheetName val="ÉTATS FINANCIERS"/>
      <sheetName val="Résultats historiques"/>
      <sheetName val="Résultats normalisés"/>
      <sheetName val="Résultats intérimaires"/>
      <sheetName val="Normalisation résultats"/>
      <sheetName val="Bilans historiques"/>
      <sheetName val="Bilans normalisés"/>
      <sheetName val="Actif net corporel"/>
      <sheetName val="Flux trésorerie"/>
      <sheetName val="RATIOS"/>
      <sheetName val="Dupont_1"/>
      <sheetName val="Dupont_2"/>
      <sheetName val="Sommaire des ratios"/>
      <sheetName val="ANALYSES"/>
      <sheetName val="Analyses financières"/>
      <sheetName val="Levier financier"/>
      <sheetName val="Bilan révisé"/>
      <sheetName val="TITRE-CMPC"/>
      <sheetName val="Coût à l'équité"/>
      <sheetName val="CPMC"/>
      <sheetName val="1-Prime CMPC"/>
      <sheetName val="2-Rendement à l'équité"/>
      <sheetName val="Comparaison-Prime de risque"/>
      <sheetName val="WARA"/>
      <sheetName val="Informations supplémentaires"/>
      <sheetName val="Total Beta"/>
      <sheetName val="Beta"/>
      <sheetName val="Indicateurs économiques"/>
      <sheetName val="ÉVALUATION"/>
      <sheetName val="Bénéfice ou FM caractéristique"/>
      <sheetName val="Évaluation - Valeur d'équité"/>
      <sheetName val="Évaluation - Valeur entreprise"/>
      <sheetName val="FMA"/>
      <sheetName val="Modèle FMA-Bas"/>
      <sheetName val="Modèle FMA-Haut"/>
      <sheetName val="TITRE-CONCLUSION"/>
      <sheetName val="Conclusion"/>
      <sheetName val="Valeur intrinseque"/>
      <sheetName val="SAISIE"/>
      <sheetName val="Saisie_ info"/>
      <sheetName val="Saisie_ rendements et multipes"/>
      <sheetName val="Saisie_RMA"/>
      <sheetName val="Saisie_résultats"/>
      <sheetName val="Saisie_bilans"/>
      <sheetName val="Saisie_économie d'impôts"/>
      <sheetName val="Data_graph"/>
      <sheetName val="CAPITAL IQ - Analyse comparable"/>
      <sheetName val="Données financières"/>
      <sheetName val="Multiples"/>
      <sheetName val="Statistiques"/>
      <sheetName val="Multiples d'évaluation"/>
      <sheetName val="Modèle de valeur résiduel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 Périodes"/>
      <sheetName val="Réel Budget Trimest"/>
      <sheetName val="Réel Réel Trimest"/>
      <sheetName val="Réel Budget Cumul"/>
      <sheetName val="Réel Réel Cumul"/>
      <sheetName val="Groupe"/>
      <sheetName val="Groupe avant"/>
      <sheetName val="Acquisitions"/>
      <sheetName val="Groupe SAUF"/>
      <sheetName val="Groupe sauf Q"/>
      <sheetName val="Centre Adm"/>
      <sheetName val="Marie-Victorin"/>
      <sheetName val="Beloeil"/>
      <sheetName val="Villeray"/>
      <sheetName val="Chateauguay"/>
      <sheetName val="Jean-Louis Lapierre"/>
      <sheetName val="Gatineau"/>
      <sheetName val="Le Chateau"/>
      <sheetName val="Gouin"/>
      <sheetName val="St-Francois"/>
      <sheetName val="Rive-Sud"/>
      <sheetName val="Des Montagnes"/>
      <sheetName val="Villa Soleil"/>
      <sheetName val="L'Assomption"/>
      <sheetName val="Chanoine Audet"/>
      <sheetName val="Maison Blanche"/>
      <sheetName val="Validation"/>
      <sheetName val="validation Établiss"/>
      <sheetName val="Groupe saufQ"/>
      <sheetName val="Assomption"/>
      <sheetName val="Pavillon Ste-Marie"/>
      <sheetName val="Validation Groupe"/>
      <sheetName val="Groupe saufP"/>
      <sheetName val="3191"/>
      <sheetName val="4151"/>
      <sheetName val="Résultats"/>
      <sheetName val="commentaires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>
        <row r="5">
          <cell r="E5">
            <v>79</v>
          </cell>
        </row>
        <row r="9">
          <cell r="E9">
            <v>191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9">
          <cell r="E9" t="str">
            <v>= au début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s Salaires"/>
      <sheetName val="Indexation"/>
      <sheetName val="Répartition périodique"/>
      <sheetName val="Instructions"/>
      <sheetName val="Sommaire et data"/>
      <sheetName val="Écritures"/>
      <sheetName val="Mobilière"/>
      <sheetName val="Taux additionnel"/>
      <sheetName val="$8,9M"/>
      <sheetName val="$5,5M"/>
      <sheetName val="$7,9M"/>
      <sheetName val="$6,8M"/>
    </sheetNames>
    <sheetDataSet>
      <sheetData sheetId="0" refreshError="1"/>
      <sheetData sheetId="1" refreshError="1"/>
      <sheetData sheetId="2" refreshError="1">
        <row r="3">
          <cell r="B3">
            <v>6.3013698630136991E-2</v>
          </cell>
        </row>
        <row r="4">
          <cell r="B4">
            <v>7.6712328767123292E-2</v>
          </cell>
        </row>
        <row r="5">
          <cell r="B5">
            <v>0.10684931506849316</v>
          </cell>
        </row>
        <row r="6">
          <cell r="B6">
            <v>4.6575342465753428E-2</v>
          </cell>
        </row>
        <row r="7">
          <cell r="B7">
            <v>7.6712328767123292E-2</v>
          </cell>
        </row>
        <row r="8">
          <cell r="B8">
            <v>7.6712328767123292E-2</v>
          </cell>
        </row>
        <row r="9">
          <cell r="B9">
            <v>7.6712328767123292E-2</v>
          </cell>
        </row>
        <row r="10">
          <cell r="B10">
            <v>7.6712328767123292E-2</v>
          </cell>
        </row>
        <row r="11">
          <cell r="B11">
            <v>7.6712328767123292E-2</v>
          </cell>
        </row>
        <row r="12">
          <cell r="B12">
            <v>7.6712328767123292E-2</v>
          </cell>
        </row>
        <row r="13">
          <cell r="B13">
            <v>7.6712328767123292E-2</v>
          </cell>
        </row>
        <row r="14">
          <cell r="B14">
            <v>7.6712328767123292E-2</v>
          </cell>
        </row>
        <row r="15">
          <cell r="B15">
            <v>9.3150684931506855E-2</v>
          </cell>
        </row>
      </sheetData>
      <sheetData sheetId="3"/>
      <sheetData sheetId="4">
        <row r="3">
          <cell r="B3">
            <v>43646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3">
    <pageSetUpPr fitToPage="1"/>
  </sheetPr>
  <dimension ref="A1:X206"/>
  <sheetViews>
    <sheetView tabSelected="1" zoomScale="115" zoomScaleNormal="115" workbookViewId="0">
      <pane xSplit="6" ySplit="7" topLeftCell="P43" activePane="bottomRight" state="frozen"/>
      <selection activeCell="G97" sqref="G97:G100"/>
      <selection pane="topRight" activeCell="G97" sqref="G97:G100"/>
      <selection pane="bottomLeft" activeCell="G97" sqref="G97:G100"/>
      <selection pane="bottomRight" activeCell="U57" sqref="U57"/>
    </sheetView>
  </sheetViews>
  <sheetFormatPr baseColWidth="10" defaultColWidth="11.42578125" defaultRowHeight="12" x14ac:dyDescent="0.2"/>
  <cols>
    <col min="1" max="4" width="13.7109375" style="2" customWidth="1"/>
    <col min="5" max="5" width="48.7109375" style="2" bestFit="1" customWidth="1"/>
    <col min="6" max="11" width="13.7109375" style="2" customWidth="1"/>
    <col min="12" max="12" width="13.7109375" style="5" customWidth="1"/>
    <col min="13" max="13" width="2.5703125" style="5" customWidth="1"/>
    <col min="14" max="19" width="15.7109375" style="5" customWidth="1"/>
    <col min="20" max="20" width="2.5703125" style="5" customWidth="1"/>
    <col min="21" max="22" width="15.7109375" style="5" customWidth="1"/>
    <col min="23" max="23" width="12.42578125" style="2" customWidth="1"/>
    <col min="24" max="16384" width="11.42578125" style="2"/>
  </cols>
  <sheetData>
    <row r="1" spans="1:23" x14ac:dyDescent="0.2">
      <c r="A1" s="10"/>
      <c r="B1" s="10"/>
      <c r="C1" s="10"/>
      <c r="D1" s="10"/>
      <c r="E1" s="10"/>
      <c r="F1" s="9"/>
      <c r="G1" s="9"/>
      <c r="H1" s="9"/>
      <c r="I1" s="9"/>
      <c r="J1" s="9"/>
      <c r="K1" s="9"/>
      <c r="L1" s="11"/>
      <c r="M1" s="6"/>
      <c r="N1" s="6"/>
      <c r="O1" s="11"/>
      <c r="P1" s="6"/>
      <c r="Q1" s="6"/>
      <c r="R1" s="6"/>
      <c r="S1" s="6"/>
      <c r="T1" s="6"/>
      <c r="U1" s="6"/>
      <c r="V1" s="11"/>
      <c r="W1" s="9" t="s">
        <v>7</v>
      </c>
    </row>
    <row r="2" spans="1:23" x14ac:dyDescent="0.2">
      <c r="A2" s="10"/>
      <c r="B2" s="10"/>
      <c r="C2" s="10"/>
      <c r="D2" s="10"/>
      <c r="E2" s="10"/>
      <c r="F2" s="9"/>
      <c r="G2" s="9"/>
      <c r="H2" s="9"/>
      <c r="I2" s="9"/>
      <c r="J2" s="9"/>
      <c r="K2" s="9"/>
      <c r="L2" s="11"/>
      <c r="M2" s="6"/>
      <c r="N2" s="6"/>
      <c r="O2" s="11"/>
      <c r="P2" s="6"/>
      <c r="Q2" s="6"/>
      <c r="R2" s="6"/>
      <c r="S2" s="6"/>
      <c r="T2" s="6"/>
      <c r="U2" s="6"/>
      <c r="V2" s="11"/>
      <c r="W2" s="9" t="s">
        <v>8</v>
      </c>
    </row>
    <row r="3" spans="1:23" x14ac:dyDescent="0.2">
      <c r="A3" s="10"/>
      <c r="B3" s="10"/>
      <c r="C3" s="10"/>
      <c r="D3" s="10"/>
      <c r="E3" s="10"/>
      <c r="F3" s="9"/>
      <c r="G3" s="9"/>
      <c r="H3" s="9"/>
      <c r="I3" s="9"/>
      <c r="J3" s="9"/>
      <c r="K3" s="9"/>
      <c r="L3" s="11"/>
      <c r="M3" s="6"/>
      <c r="N3" s="6"/>
      <c r="O3" s="11"/>
      <c r="P3" s="6"/>
      <c r="Q3" s="6"/>
      <c r="R3" s="6"/>
      <c r="S3" s="6"/>
      <c r="T3" s="6"/>
      <c r="U3" s="6"/>
      <c r="V3" s="11"/>
      <c r="W3" s="12"/>
    </row>
    <row r="4" spans="1:23" x14ac:dyDescent="0.2">
      <c r="A4" s="10"/>
      <c r="B4" s="10"/>
      <c r="C4" s="10"/>
      <c r="D4" s="10"/>
      <c r="E4" s="10"/>
      <c r="F4" s="9"/>
      <c r="G4" s="9"/>
      <c r="H4" s="9"/>
      <c r="I4" s="9"/>
      <c r="J4" s="9"/>
      <c r="K4" s="9"/>
      <c r="L4" s="11"/>
      <c r="M4" s="6"/>
      <c r="N4" s="6"/>
      <c r="O4" s="11"/>
      <c r="P4" s="6"/>
      <c r="Q4" s="6"/>
      <c r="R4" s="6"/>
      <c r="S4" s="6"/>
      <c r="T4" s="6"/>
      <c r="U4" s="6"/>
      <c r="V4" s="11"/>
      <c r="W4" s="12"/>
    </row>
    <row r="5" spans="1:23" x14ac:dyDescent="0.2">
      <c r="A5" s="9"/>
      <c r="B5" s="9"/>
      <c r="C5" s="9"/>
      <c r="D5" s="9"/>
      <c r="E5" s="226" t="s">
        <v>9</v>
      </c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13"/>
      <c r="Q5" s="13"/>
      <c r="R5" s="13"/>
      <c r="S5" s="13"/>
      <c r="T5" s="13"/>
      <c r="U5" s="13"/>
      <c r="V5" s="13"/>
      <c r="W5" s="9"/>
    </row>
    <row r="6" spans="1:23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1"/>
      <c r="M6" s="6"/>
      <c r="N6" s="6"/>
      <c r="O6" s="11"/>
      <c r="P6" s="6"/>
      <c r="Q6" s="6"/>
      <c r="R6" s="6"/>
      <c r="S6" s="6"/>
      <c r="T6" s="6"/>
      <c r="U6" s="6"/>
      <c r="V6" s="11"/>
      <c r="W6" s="12"/>
    </row>
    <row r="7" spans="1:23" s="7" customFormat="1" ht="53.25" customHeight="1" x14ac:dyDescent="0.2">
      <c r="A7" s="14" t="s">
        <v>112</v>
      </c>
      <c r="B7" s="14"/>
      <c r="C7" s="14"/>
      <c r="D7" s="14" t="s">
        <v>121</v>
      </c>
      <c r="E7" s="14" t="s">
        <v>10</v>
      </c>
      <c r="F7" s="15" t="s">
        <v>11</v>
      </c>
      <c r="G7" s="15" t="s">
        <v>12</v>
      </c>
      <c r="H7" s="15" t="s">
        <v>13</v>
      </c>
      <c r="I7" s="15" t="s">
        <v>14</v>
      </c>
      <c r="J7" s="15" t="s">
        <v>15</v>
      </c>
      <c r="K7" s="15" t="s">
        <v>16</v>
      </c>
      <c r="L7" s="16" t="s">
        <v>17</v>
      </c>
      <c r="M7" s="17"/>
      <c r="N7" s="17" t="s">
        <v>134</v>
      </c>
      <c r="O7" s="18" t="s">
        <v>135</v>
      </c>
      <c r="P7" s="17" t="s">
        <v>122</v>
      </c>
      <c r="Q7" s="17" t="s">
        <v>123</v>
      </c>
      <c r="R7" s="17" t="s">
        <v>124</v>
      </c>
      <c r="S7" s="17" t="s">
        <v>125</v>
      </c>
      <c r="T7" s="17"/>
      <c r="U7" s="17" t="s">
        <v>153</v>
      </c>
      <c r="V7" s="18" t="s">
        <v>154</v>
      </c>
      <c r="W7" s="19" t="s">
        <v>22</v>
      </c>
    </row>
    <row r="8" spans="1:23" x14ac:dyDescent="0.2">
      <c r="A8" s="20"/>
      <c r="B8" s="20"/>
      <c r="C8" s="20"/>
      <c r="D8" s="20"/>
      <c r="E8" s="20"/>
      <c r="F8" s="20"/>
      <c r="G8" s="21"/>
      <c r="H8" s="20"/>
      <c r="I8" s="22"/>
      <c r="J8" s="22"/>
      <c r="K8" s="22"/>
      <c r="L8" s="23"/>
      <c r="M8" s="23"/>
      <c r="N8" s="23"/>
      <c r="O8" s="23"/>
      <c r="P8" s="23"/>
      <c r="Q8" s="24"/>
      <c r="R8" s="23"/>
      <c r="S8" s="23"/>
      <c r="T8" s="23"/>
      <c r="U8" s="23"/>
      <c r="V8" s="23"/>
      <c r="W8" s="25"/>
    </row>
    <row r="9" spans="1:23" x14ac:dyDescent="0.2">
      <c r="A9" s="26" t="s">
        <v>0</v>
      </c>
      <c r="B9" s="26" t="str">
        <f t="shared" ref="B9:B13" si="0">CONCATENATE(A9," - EMP")</f>
        <v>S1500 - EMP</v>
      </c>
      <c r="C9" s="26" t="s">
        <v>150</v>
      </c>
      <c r="D9" s="26" t="s">
        <v>23</v>
      </c>
      <c r="E9" s="26" t="s">
        <v>24</v>
      </c>
      <c r="F9" s="26" t="s">
        <v>25</v>
      </c>
      <c r="G9" s="27">
        <v>22215565</v>
      </c>
      <c r="H9" s="26" t="s">
        <v>26</v>
      </c>
      <c r="I9" s="28">
        <v>44592</v>
      </c>
      <c r="J9" s="28">
        <v>46295</v>
      </c>
      <c r="K9" s="29">
        <f>YEAR(J9)</f>
        <v>2026</v>
      </c>
      <c r="L9" s="30">
        <v>15000000</v>
      </c>
      <c r="M9" s="30" t="str">
        <f t="shared" ref="M9:M13" si="1">+IF(N9&lt;0,"P","A")</f>
        <v>A</v>
      </c>
      <c r="N9" s="40">
        <v>228291</v>
      </c>
      <c r="O9" s="40">
        <v>15000000</v>
      </c>
      <c r="P9" s="41"/>
      <c r="Q9" s="40">
        <f>+U9-N9-P9</f>
        <v>-114510</v>
      </c>
      <c r="R9" s="30"/>
      <c r="S9" s="30"/>
      <c r="T9" s="30" t="str">
        <f t="shared" ref="T9:T64" si="2">+IF(U9&lt;0,"P","A")</f>
        <v>A</v>
      </c>
      <c r="U9" s="40">
        <v>113781</v>
      </c>
      <c r="V9" s="40">
        <v>15000000</v>
      </c>
      <c r="W9" s="25" t="str">
        <f>IF(OR(AND(N9&gt;0,U9&gt;0),AND(N9&lt;0,U9&lt;0)),"-","CHGT SENS")</f>
        <v>-</v>
      </c>
    </row>
    <row r="10" spans="1:23" x14ac:dyDescent="0.2">
      <c r="A10" s="26" t="s">
        <v>0</v>
      </c>
      <c r="B10" s="26" t="str">
        <f t="shared" si="0"/>
        <v>S1500 - EMP</v>
      </c>
      <c r="C10" s="26" t="s">
        <v>150</v>
      </c>
      <c r="D10" s="26" t="s">
        <v>23</v>
      </c>
      <c r="E10" s="26" t="s">
        <v>27</v>
      </c>
      <c r="F10" s="26" t="s">
        <v>25</v>
      </c>
      <c r="G10" s="27">
        <v>25341747</v>
      </c>
      <c r="H10" s="26" t="s">
        <v>26</v>
      </c>
      <c r="I10" s="28">
        <v>44834</v>
      </c>
      <c r="J10" s="28">
        <v>46295</v>
      </c>
      <c r="K10" s="29">
        <f t="shared" ref="K10:K13" si="3">YEAR(J10)</f>
        <v>2026</v>
      </c>
      <c r="L10" s="30">
        <v>12500000</v>
      </c>
      <c r="M10" s="30" t="str">
        <f t="shared" si="1"/>
        <v>A</v>
      </c>
      <c r="N10" s="40">
        <v>66812</v>
      </c>
      <c r="O10" s="40">
        <v>12500000</v>
      </c>
      <c r="P10" s="41"/>
      <c r="Q10" s="40">
        <f t="shared" ref="Q10:Q13" si="4">+U10-N10-P10</f>
        <v>-58271</v>
      </c>
      <c r="R10" s="30"/>
      <c r="S10" s="30"/>
      <c r="T10" s="30" t="str">
        <f t="shared" si="2"/>
        <v>A</v>
      </c>
      <c r="U10" s="40">
        <v>8541</v>
      </c>
      <c r="V10" s="40">
        <v>12500000</v>
      </c>
      <c r="W10" s="25" t="str">
        <f t="shared" ref="W10:W13" si="5">IF(OR(AND(N10&gt;0,U10&gt;0),AND(N10&lt;0,U10&lt;0)),"-","CHGT SENS")</f>
        <v>-</v>
      </c>
    </row>
    <row r="11" spans="1:23" x14ac:dyDescent="0.2">
      <c r="A11" s="26" t="s">
        <v>0</v>
      </c>
      <c r="B11" s="26" t="str">
        <f t="shared" si="0"/>
        <v>S1500 - EMP</v>
      </c>
      <c r="C11" s="26" t="s">
        <v>150</v>
      </c>
      <c r="D11" s="26" t="s">
        <v>23</v>
      </c>
      <c r="E11" s="26" t="s">
        <v>28</v>
      </c>
      <c r="F11" s="26" t="s">
        <v>29</v>
      </c>
      <c r="G11" s="27" t="s">
        <v>30</v>
      </c>
      <c r="H11" s="26" t="s">
        <v>26</v>
      </c>
      <c r="I11" s="28">
        <v>44592</v>
      </c>
      <c r="J11" s="28">
        <v>46295</v>
      </c>
      <c r="K11" s="29">
        <f t="shared" si="3"/>
        <v>2026</v>
      </c>
      <c r="L11" s="30">
        <v>12500000</v>
      </c>
      <c r="M11" s="30" t="str">
        <f t="shared" si="1"/>
        <v>A</v>
      </c>
      <c r="N11" s="40">
        <v>192982.98</v>
      </c>
      <c r="O11" s="40">
        <v>12500000</v>
      </c>
      <c r="P11" s="41"/>
      <c r="Q11" s="40">
        <f t="shared" si="4"/>
        <v>-99545.62000000001</v>
      </c>
      <c r="R11" s="30"/>
      <c r="S11" s="30"/>
      <c r="T11" s="30" t="str">
        <f t="shared" si="2"/>
        <v>A</v>
      </c>
      <c r="U11" s="40">
        <v>93437.36</v>
      </c>
      <c r="V11" s="40">
        <v>12500000</v>
      </c>
      <c r="W11" s="25" t="str">
        <f t="shared" si="5"/>
        <v>-</v>
      </c>
    </row>
    <row r="12" spans="1:23" x14ac:dyDescent="0.2">
      <c r="A12" s="26" t="s">
        <v>0</v>
      </c>
      <c r="B12" s="26" t="str">
        <f t="shared" si="0"/>
        <v>S1500 - EMP</v>
      </c>
      <c r="C12" s="26" t="s">
        <v>150</v>
      </c>
      <c r="D12" s="26" t="s">
        <v>23</v>
      </c>
      <c r="E12" s="26" t="s">
        <v>31</v>
      </c>
      <c r="F12" s="26" t="s">
        <v>32</v>
      </c>
      <c r="G12" s="27">
        <v>2069697</v>
      </c>
      <c r="H12" s="26" t="s">
        <v>26</v>
      </c>
      <c r="I12" s="28">
        <v>44592</v>
      </c>
      <c r="J12" s="28">
        <v>46295</v>
      </c>
      <c r="K12" s="29">
        <f t="shared" si="3"/>
        <v>2026</v>
      </c>
      <c r="L12" s="30">
        <v>12500000</v>
      </c>
      <c r="M12" s="30" t="str">
        <f t="shared" si="1"/>
        <v>A</v>
      </c>
      <c r="N12" s="40">
        <v>191206</v>
      </c>
      <c r="O12" s="40">
        <v>12500000</v>
      </c>
      <c r="P12" s="41"/>
      <c r="Q12" s="40">
        <f>+U12-N12-P12</f>
        <v>-94367</v>
      </c>
      <c r="R12" s="30"/>
      <c r="S12" s="30"/>
      <c r="T12" s="30" t="str">
        <f t="shared" si="2"/>
        <v>A</v>
      </c>
      <c r="U12" s="40">
        <v>96839</v>
      </c>
      <c r="V12" s="40">
        <v>12500000</v>
      </c>
      <c r="W12" s="25" t="str">
        <f t="shared" si="5"/>
        <v>-</v>
      </c>
    </row>
    <row r="13" spans="1:23" x14ac:dyDescent="0.2">
      <c r="A13" s="26" t="s">
        <v>0</v>
      </c>
      <c r="B13" s="26" t="str">
        <f t="shared" si="0"/>
        <v>S1500 - EMP</v>
      </c>
      <c r="C13" s="26" t="s">
        <v>150</v>
      </c>
      <c r="D13" s="26" t="s">
        <v>23</v>
      </c>
      <c r="E13" s="26" t="s">
        <v>159</v>
      </c>
      <c r="F13" s="26" t="s">
        <v>25</v>
      </c>
      <c r="G13" s="27">
        <v>28902961</v>
      </c>
      <c r="H13" s="26" t="s">
        <v>26</v>
      </c>
      <c r="I13" s="28">
        <v>45040</v>
      </c>
      <c r="J13" s="28">
        <v>46295</v>
      </c>
      <c r="K13" s="29">
        <f t="shared" si="3"/>
        <v>2026</v>
      </c>
      <c r="L13" s="30">
        <v>11500000</v>
      </c>
      <c r="M13" s="30" t="str">
        <f t="shared" si="1"/>
        <v>P</v>
      </c>
      <c r="N13" s="40">
        <v>-122057</v>
      </c>
      <c r="O13" s="40">
        <v>11500000</v>
      </c>
      <c r="P13" s="41"/>
      <c r="Q13" s="40">
        <f t="shared" si="4"/>
        <v>36060</v>
      </c>
      <c r="R13" s="30"/>
      <c r="S13" s="30"/>
      <c r="T13" s="30" t="str">
        <f t="shared" si="2"/>
        <v>P</v>
      </c>
      <c r="U13" s="40">
        <v>-85997</v>
      </c>
      <c r="V13" s="40">
        <v>11500000</v>
      </c>
      <c r="W13" s="25" t="str">
        <f t="shared" si="5"/>
        <v>-</v>
      </c>
    </row>
    <row r="14" spans="1:23" x14ac:dyDescent="0.2">
      <c r="A14" s="82"/>
      <c r="B14" s="83"/>
      <c r="C14" s="83"/>
      <c r="D14" s="83"/>
      <c r="E14" s="83"/>
      <c r="F14" s="83"/>
      <c r="G14" s="84"/>
      <c r="H14" s="83"/>
      <c r="I14" s="85"/>
      <c r="J14" s="85"/>
      <c r="K14" s="86"/>
      <c r="L14" s="87"/>
      <c r="M14" s="167"/>
      <c r="N14" s="168"/>
      <c r="O14" s="168"/>
      <c r="P14" s="169"/>
      <c r="Q14" s="168"/>
      <c r="R14" s="167"/>
      <c r="S14" s="167"/>
      <c r="T14" s="167"/>
      <c r="U14" s="168"/>
      <c r="V14" s="168"/>
      <c r="W14" s="25"/>
    </row>
    <row r="15" spans="1:23" x14ac:dyDescent="0.2">
      <c r="A15" s="26" t="s">
        <v>1</v>
      </c>
      <c r="B15" s="26" t="str">
        <f t="shared" ref="B15:B22" si="6">CONCATENATE(A15," - EMP")</f>
        <v>S1590 - EMP</v>
      </c>
      <c r="C15" s="26" t="s">
        <v>150</v>
      </c>
      <c r="D15" s="26" t="s">
        <v>23</v>
      </c>
      <c r="E15" s="26" t="s">
        <v>33</v>
      </c>
      <c r="F15" s="26" t="s">
        <v>32</v>
      </c>
      <c r="G15" s="27">
        <v>2351992</v>
      </c>
      <c r="H15" s="26" t="s">
        <v>34</v>
      </c>
      <c r="I15" s="28">
        <v>44991</v>
      </c>
      <c r="J15" s="28">
        <v>47158</v>
      </c>
      <c r="K15" s="29">
        <f t="shared" ref="K15:K22" si="7">YEAR(J15)</f>
        <v>2029</v>
      </c>
      <c r="L15" s="33">
        <v>14125800</v>
      </c>
      <c r="M15" s="30" t="str">
        <f t="shared" ref="M15:M24" si="8">+IF(N15&lt;0,"P","A")</f>
        <v>P</v>
      </c>
      <c r="N15" s="40">
        <v>-409859</v>
      </c>
      <c r="O15" s="40">
        <v>14125800</v>
      </c>
      <c r="P15" s="41"/>
      <c r="Q15" s="40">
        <f t="shared" ref="Q15:Q21" si="9">+U15-N15-P15</f>
        <v>56633.840000000026</v>
      </c>
      <c r="R15" s="30"/>
      <c r="S15" s="30"/>
      <c r="T15" s="30" t="str">
        <f t="shared" si="2"/>
        <v>P</v>
      </c>
      <c r="U15" s="40">
        <v>-353225.16</v>
      </c>
      <c r="V15" s="40">
        <v>14125800</v>
      </c>
      <c r="W15" s="25" t="str">
        <f>IF(OR(AND(N15&gt;0,U15&gt;0),AND(N15&lt;0,U15&lt;0)),"-","CHGT SENS")</f>
        <v>-</v>
      </c>
    </row>
    <row r="16" spans="1:23" x14ac:dyDescent="0.2">
      <c r="A16" s="26" t="s">
        <v>1</v>
      </c>
      <c r="B16" s="26" t="str">
        <f t="shared" si="6"/>
        <v>S1590 - EMP</v>
      </c>
      <c r="C16" s="26" t="s">
        <v>150</v>
      </c>
      <c r="D16" s="26" t="s">
        <v>23</v>
      </c>
      <c r="E16" s="26" t="s">
        <v>35</v>
      </c>
      <c r="F16" s="26" t="s">
        <v>29</v>
      </c>
      <c r="G16" s="27" t="s">
        <v>36</v>
      </c>
      <c r="H16" s="26" t="s">
        <v>34</v>
      </c>
      <c r="I16" s="28">
        <v>44978</v>
      </c>
      <c r="J16" s="28">
        <v>47158</v>
      </c>
      <c r="K16" s="29">
        <f t="shared" si="7"/>
        <v>2029</v>
      </c>
      <c r="L16" s="30">
        <v>18834400</v>
      </c>
      <c r="M16" s="30" t="str">
        <f t="shared" si="8"/>
        <v>P</v>
      </c>
      <c r="N16" s="40">
        <v>-461644.75</v>
      </c>
      <c r="O16" s="40">
        <v>18834400</v>
      </c>
      <c r="P16" s="41"/>
      <c r="Q16" s="40">
        <f t="shared" si="9"/>
        <v>52400.320000000007</v>
      </c>
      <c r="R16" s="30"/>
      <c r="S16" s="30"/>
      <c r="T16" s="30" t="str">
        <f t="shared" si="2"/>
        <v>P</v>
      </c>
      <c r="U16" s="40">
        <v>-409244.43</v>
      </c>
      <c r="V16" s="40">
        <v>18834400</v>
      </c>
      <c r="W16" s="25" t="str">
        <f t="shared" ref="W16:W22" si="10">IF(OR(AND(N16&gt;0,U16&gt;0),AND(N16&lt;0,U16&lt;0)),"-","CHGT SENS")</f>
        <v>-</v>
      </c>
    </row>
    <row r="17" spans="1:23" x14ac:dyDescent="0.2">
      <c r="A17" s="26" t="s">
        <v>1</v>
      </c>
      <c r="B17" s="26" t="str">
        <f t="shared" si="6"/>
        <v>S1590 - EMP</v>
      </c>
      <c r="C17" s="26" t="s">
        <v>150</v>
      </c>
      <c r="D17" s="26" t="s">
        <v>23</v>
      </c>
      <c r="E17" s="26" t="s">
        <v>35</v>
      </c>
      <c r="F17" s="26" t="s">
        <v>29</v>
      </c>
      <c r="G17" s="27" t="s">
        <v>37</v>
      </c>
      <c r="H17" s="26" t="s">
        <v>34</v>
      </c>
      <c r="I17" s="28">
        <v>44995</v>
      </c>
      <c r="J17" s="28">
        <v>47158</v>
      </c>
      <c r="K17" s="29">
        <f t="shared" si="7"/>
        <v>2029</v>
      </c>
      <c r="L17" s="30">
        <v>5650320</v>
      </c>
      <c r="M17" s="30" t="str">
        <f t="shared" si="8"/>
        <v>P</v>
      </c>
      <c r="N17" s="40">
        <v>-142711.29999999999</v>
      </c>
      <c r="O17" s="40">
        <v>5650320</v>
      </c>
      <c r="P17" s="41"/>
      <c r="Q17" s="40">
        <f t="shared" si="9"/>
        <v>15933.489999999991</v>
      </c>
      <c r="R17" s="30"/>
      <c r="S17" s="30"/>
      <c r="T17" s="30" t="str">
        <f t="shared" si="2"/>
        <v>P</v>
      </c>
      <c r="U17" s="40">
        <v>-126777.81</v>
      </c>
      <c r="V17" s="40">
        <v>5650320</v>
      </c>
      <c r="W17" s="25" t="str">
        <f t="shared" si="10"/>
        <v>-</v>
      </c>
    </row>
    <row r="18" spans="1:23" x14ac:dyDescent="0.2">
      <c r="A18" s="26" t="s">
        <v>1</v>
      </c>
      <c r="B18" s="26" t="str">
        <f t="shared" si="6"/>
        <v>S1590 - EMP</v>
      </c>
      <c r="C18" s="26" t="s">
        <v>150</v>
      </c>
      <c r="D18" s="26" t="s">
        <v>23</v>
      </c>
      <c r="E18" s="26" t="s">
        <v>35</v>
      </c>
      <c r="F18" s="26" t="s">
        <v>29</v>
      </c>
      <c r="G18" s="27" t="s">
        <v>38</v>
      </c>
      <c r="H18" s="26" t="s">
        <v>39</v>
      </c>
      <c r="I18" s="28">
        <v>44999</v>
      </c>
      <c r="J18" s="28">
        <v>47158</v>
      </c>
      <c r="K18" s="29">
        <f t="shared" si="7"/>
        <v>2029</v>
      </c>
      <c r="L18" s="30">
        <v>6000000</v>
      </c>
      <c r="M18" s="30" t="str">
        <f t="shared" si="8"/>
        <v>P</v>
      </c>
      <c r="N18" s="40">
        <v>-189575.67</v>
      </c>
      <c r="O18" s="40">
        <v>6000000</v>
      </c>
      <c r="P18" s="41"/>
      <c r="Q18" s="40">
        <f t="shared" si="9"/>
        <v>-2802.7699999999895</v>
      </c>
      <c r="R18" s="30"/>
      <c r="S18" s="30"/>
      <c r="T18" s="30" t="str">
        <f t="shared" si="2"/>
        <v>P</v>
      </c>
      <c r="U18" s="40">
        <v>-192378.44</v>
      </c>
      <c r="V18" s="40">
        <v>6000000</v>
      </c>
      <c r="W18" s="25" t="str">
        <f t="shared" si="10"/>
        <v>-</v>
      </c>
    </row>
    <row r="19" spans="1:23" ht="14.45" customHeight="1" x14ac:dyDescent="0.2">
      <c r="A19" s="26" t="s">
        <v>1</v>
      </c>
      <c r="B19" s="26" t="str">
        <f t="shared" si="6"/>
        <v>S1590 - EMP</v>
      </c>
      <c r="C19" s="26" t="s">
        <v>150</v>
      </c>
      <c r="D19" s="26" t="s">
        <v>23</v>
      </c>
      <c r="E19" s="26" t="s">
        <v>41</v>
      </c>
      <c r="F19" s="26" t="s">
        <v>40</v>
      </c>
      <c r="G19" s="27">
        <v>30026532</v>
      </c>
      <c r="H19" s="26" t="s">
        <v>39</v>
      </c>
      <c r="I19" s="28">
        <v>45107</v>
      </c>
      <c r="J19" s="28">
        <v>47158</v>
      </c>
      <c r="K19" s="29">
        <f t="shared" si="7"/>
        <v>2029</v>
      </c>
      <c r="L19" s="33">
        <v>31020000</v>
      </c>
      <c r="M19" s="30" t="str">
        <f t="shared" si="8"/>
        <v>A</v>
      </c>
      <c r="N19" s="40">
        <v>37841.660000000003</v>
      </c>
      <c r="O19" s="230">
        <v>31020000</v>
      </c>
      <c r="P19" s="41"/>
      <c r="Q19" s="40">
        <f t="shared" si="9"/>
        <v>-23714.770000000004</v>
      </c>
      <c r="R19" s="30"/>
      <c r="S19" s="30"/>
      <c r="T19" s="30" t="str">
        <f t="shared" si="2"/>
        <v>A</v>
      </c>
      <c r="U19" s="40">
        <v>14126.89</v>
      </c>
      <c r="V19" s="230">
        <v>31020000</v>
      </c>
      <c r="W19" s="25" t="str">
        <f t="shared" si="10"/>
        <v>-</v>
      </c>
    </row>
    <row r="20" spans="1:23" x14ac:dyDescent="0.2">
      <c r="A20" s="26" t="s">
        <v>1</v>
      </c>
      <c r="B20" s="26" t="str">
        <f t="shared" si="6"/>
        <v>S1590 - EMP</v>
      </c>
      <c r="C20" s="26" t="s">
        <v>150</v>
      </c>
      <c r="D20" s="26" t="s">
        <v>23</v>
      </c>
      <c r="E20" s="26" t="s">
        <v>42</v>
      </c>
      <c r="F20" s="26" t="s">
        <v>40</v>
      </c>
      <c r="G20" s="27">
        <v>30026535</v>
      </c>
      <c r="H20" s="26" t="s">
        <v>39</v>
      </c>
      <c r="I20" s="28">
        <v>45107</v>
      </c>
      <c r="J20" s="28">
        <v>47158</v>
      </c>
      <c r="K20" s="29">
        <f t="shared" si="7"/>
        <v>2029</v>
      </c>
      <c r="L20" s="33">
        <v>31020000</v>
      </c>
      <c r="M20" s="30" t="str">
        <f t="shared" si="8"/>
        <v>P</v>
      </c>
      <c r="N20" s="40">
        <v>-980030.78</v>
      </c>
      <c r="O20" s="231"/>
      <c r="P20" s="41"/>
      <c r="Q20" s="40">
        <f t="shared" si="9"/>
        <v>5147.7100000000792</v>
      </c>
      <c r="R20" s="30"/>
      <c r="S20" s="30"/>
      <c r="T20" s="30" t="str">
        <f t="shared" si="2"/>
        <v>P</v>
      </c>
      <c r="U20" s="40">
        <v>-974883.07</v>
      </c>
      <c r="V20" s="231"/>
      <c r="W20" s="25" t="str">
        <f t="shared" si="10"/>
        <v>-</v>
      </c>
    </row>
    <row r="21" spans="1:23" x14ac:dyDescent="0.2">
      <c r="A21" s="26" t="s">
        <v>1</v>
      </c>
      <c r="B21" s="26" t="str">
        <f t="shared" si="6"/>
        <v>S1590 - EMP</v>
      </c>
      <c r="C21" s="26" t="s">
        <v>150</v>
      </c>
      <c r="D21" s="26" t="s">
        <v>23</v>
      </c>
      <c r="E21" s="26" t="s">
        <v>43</v>
      </c>
      <c r="F21" s="32" t="s">
        <v>25</v>
      </c>
      <c r="G21" s="27">
        <v>27968006</v>
      </c>
      <c r="H21" s="26" t="s">
        <v>26</v>
      </c>
      <c r="I21" s="34">
        <v>44957</v>
      </c>
      <c r="J21" s="28">
        <v>47158</v>
      </c>
      <c r="K21" s="29">
        <f t="shared" si="7"/>
        <v>2029</v>
      </c>
      <c r="L21" s="33">
        <v>24440000</v>
      </c>
      <c r="M21" s="30" t="str">
        <f t="shared" si="8"/>
        <v>P</v>
      </c>
      <c r="N21" s="40">
        <v>-513357</v>
      </c>
      <c r="O21" s="40">
        <v>24440000</v>
      </c>
      <c r="P21" s="41"/>
      <c r="Q21" s="40">
        <f t="shared" si="9"/>
        <v>60068</v>
      </c>
      <c r="R21" s="30"/>
      <c r="S21" s="30"/>
      <c r="T21" s="30" t="str">
        <f t="shared" si="2"/>
        <v>P</v>
      </c>
      <c r="U21" s="40">
        <v>-453289</v>
      </c>
      <c r="V21" s="40">
        <v>24440000</v>
      </c>
      <c r="W21" s="25" t="str">
        <f t="shared" si="10"/>
        <v>-</v>
      </c>
    </row>
    <row r="22" spans="1:23" x14ac:dyDescent="0.2">
      <c r="A22" s="26" t="s">
        <v>1</v>
      </c>
      <c r="B22" s="26" t="str">
        <f t="shared" si="6"/>
        <v>S1590 - EMP</v>
      </c>
      <c r="C22" s="26" t="s">
        <v>150</v>
      </c>
      <c r="D22" s="26" t="s">
        <v>23</v>
      </c>
      <c r="E22" s="26" t="s">
        <v>44</v>
      </c>
      <c r="F22" s="32" t="s">
        <v>45</v>
      </c>
      <c r="G22" s="27" t="s">
        <v>46</v>
      </c>
      <c r="H22" s="26" t="s">
        <v>39</v>
      </c>
      <c r="I22" s="34">
        <v>45009</v>
      </c>
      <c r="J22" s="28">
        <v>47158</v>
      </c>
      <c r="K22" s="29">
        <f t="shared" si="7"/>
        <v>2029</v>
      </c>
      <c r="L22" s="33">
        <v>6000000</v>
      </c>
      <c r="M22" s="30" t="str">
        <f t="shared" si="8"/>
        <v>P</v>
      </c>
      <c r="N22" s="40">
        <v>-130170</v>
      </c>
      <c r="O22" s="40">
        <v>6000000</v>
      </c>
      <c r="P22" s="41"/>
      <c r="Q22" s="40">
        <f>+U22-N22-P22</f>
        <v>16344</v>
      </c>
      <c r="R22" s="30"/>
      <c r="S22" s="30"/>
      <c r="T22" s="30" t="str">
        <f t="shared" si="2"/>
        <v>P</v>
      </c>
      <c r="U22" s="40">
        <v>-113826</v>
      </c>
      <c r="V22" s="40">
        <v>6000000</v>
      </c>
      <c r="W22" s="25" t="str">
        <f t="shared" si="10"/>
        <v>-</v>
      </c>
    </row>
    <row r="23" spans="1:23" x14ac:dyDescent="0.2">
      <c r="A23" s="82"/>
      <c r="B23" s="83"/>
      <c r="C23" s="83"/>
      <c r="D23" s="83"/>
      <c r="E23" s="83"/>
      <c r="F23" s="83"/>
      <c r="G23" s="84"/>
      <c r="H23" s="83"/>
      <c r="I23" s="85"/>
      <c r="J23" s="85"/>
      <c r="K23" s="86"/>
      <c r="L23" s="87"/>
      <c r="M23" s="167"/>
      <c r="N23" s="168"/>
      <c r="O23" s="168"/>
      <c r="P23" s="169"/>
      <c r="Q23" s="168"/>
      <c r="R23" s="167"/>
      <c r="S23" s="167"/>
      <c r="T23" s="167"/>
      <c r="U23" s="168"/>
      <c r="V23" s="168"/>
      <c r="W23" s="25"/>
    </row>
    <row r="24" spans="1:23" s="1" customFormat="1" x14ac:dyDescent="0.2">
      <c r="A24" s="166" t="s">
        <v>160</v>
      </c>
      <c r="B24" s="166" t="s">
        <v>161</v>
      </c>
      <c r="C24" s="166" t="s">
        <v>162</v>
      </c>
      <c r="D24" s="166" t="s">
        <v>23</v>
      </c>
      <c r="E24" s="166" t="s">
        <v>163</v>
      </c>
      <c r="F24" s="166" t="s">
        <v>29</v>
      </c>
      <c r="G24" s="160" t="s">
        <v>164</v>
      </c>
      <c r="H24" s="159" t="s">
        <v>39</v>
      </c>
      <c r="I24" s="170">
        <v>45691</v>
      </c>
      <c r="J24" s="170">
        <v>48247</v>
      </c>
      <c r="K24" s="161">
        <v>2032</v>
      </c>
      <c r="L24" s="165">
        <v>4850313</v>
      </c>
      <c r="M24" s="162" t="str">
        <f t="shared" si="8"/>
        <v>A</v>
      </c>
      <c r="N24" s="163">
        <v>0</v>
      </c>
      <c r="O24" s="163">
        <v>0</v>
      </c>
      <c r="P24" s="164"/>
      <c r="Q24" s="163">
        <f t="shared" ref="Q24" si="11">+U24-N24-P24</f>
        <v>-1462.44</v>
      </c>
      <c r="R24" s="162"/>
      <c r="S24" s="162"/>
      <c r="T24" s="162" t="str">
        <f t="shared" si="2"/>
        <v>P</v>
      </c>
      <c r="U24" s="163">
        <v>-1462.44</v>
      </c>
      <c r="V24" s="175">
        <v>4815075</v>
      </c>
      <c r="W24" s="104"/>
    </row>
    <row r="25" spans="1:23" x14ac:dyDescent="0.2">
      <c r="A25" s="82"/>
      <c r="B25" s="83"/>
      <c r="C25" s="83"/>
      <c r="D25" s="83"/>
      <c r="E25" s="83"/>
      <c r="F25" s="83"/>
      <c r="G25" s="84"/>
      <c r="H25" s="224"/>
      <c r="I25" s="85"/>
      <c r="J25" s="85"/>
      <c r="K25" s="225"/>
      <c r="L25" s="87"/>
      <c r="M25" s="167"/>
      <c r="N25" s="168"/>
      <c r="O25" s="168"/>
      <c r="P25" s="169"/>
      <c r="Q25" s="168"/>
      <c r="R25" s="167"/>
      <c r="S25" s="167"/>
      <c r="T25" s="167"/>
      <c r="U25" s="168"/>
      <c r="V25" s="168"/>
      <c r="W25" s="25"/>
    </row>
    <row r="26" spans="1:23" x14ac:dyDescent="0.2">
      <c r="A26" s="32" t="s">
        <v>4</v>
      </c>
      <c r="B26" s="32" t="str">
        <f t="shared" ref="B26:B27" si="12">CONCATENATE(A26," - EMP")</f>
        <v>S1600 - EMP</v>
      </c>
      <c r="C26" s="32" t="s">
        <v>150</v>
      </c>
      <c r="D26" s="32" t="s">
        <v>23</v>
      </c>
      <c r="E26" s="32" t="s">
        <v>47</v>
      </c>
      <c r="F26" s="32" t="s">
        <v>25</v>
      </c>
      <c r="G26" s="27">
        <v>25197154</v>
      </c>
      <c r="H26" s="26" t="s">
        <v>26</v>
      </c>
      <c r="I26" s="35">
        <v>44895</v>
      </c>
      <c r="J26" s="35">
        <v>46171</v>
      </c>
      <c r="K26" s="29">
        <f t="shared" ref="K26:K29" si="13">YEAR(J26)</f>
        <v>2026</v>
      </c>
      <c r="L26" s="33">
        <v>7255000</v>
      </c>
      <c r="M26" s="30" t="str">
        <f t="shared" ref="M26:M29" si="14">+IF(N26&lt;0,"P","A")</f>
        <v>A</v>
      </c>
      <c r="N26" s="40">
        <v>51139</v>
      </c>
      <c r="O26" s="40">
        <v>6386500</v>
      </c>
      <c r="P26" s="41"/>
      <c r="Q26" s="40">
        <f t="shared" ref="Q26:Q27" si="15">+U26-N26-P26</f>
        <v>-35933</v>
      </c>
      <c r="R26" s="30"/>
      <c r="S26" s="30"/>
      <c r="T26" s="30" t="str">
        <f t="shared" ref="T26:T27" si="16">+IF(U26&lt;0,"P","A")</f>
        <v>A</v>
      </c>
      <c r="U26" s="40">
        <v>15206</v>
      </c>
      <c r="V26" s="176">
        <v>6386500</v>
      </c>
      <c r="W26" s="25" t="str">
        <f t="shared" ref="W26:W27" si="17">IF(OR(AND(N26&gt;0,U26&gt;0),AND(N26&lt;0,U26&lt;0)),"-","CHGT SENS")</f>
        <v>-</v>
      </c>
    </row>
    <row r="27" spans="1:23" x14ac:dyDescent="0.2">
      <c r="A27" s="32" t="s">
        <v>4</v>
      </c>
      <c r="B27" s="32" t="str">
        <f t="shared" si="12"/>
        <v>S1600 - EMP</v>
      </c>
      <c r="C27" s="32" t="s">
        <v>150</v>
      </c>
      <c r="D27" s="32" t="s">
        <v>23</v>
      </c>
      <c r="E27" s="32" t="s">
        <v>49</v>
      </c>
      <c r="F27" s="32" t="s">
        <v>25</v>
      </c>
      <c r="G27" s="27">
        <v>25197207</v>
      </c>
      <c r="H27" s="26" t="s">
        <v>26</v>
      </c>
      <c r="I27" s="35">
        <v>44895</v>
      </c>
      <c r="J27" s="35">
        <v>46168</v>
      </c>
      <c r="K27" s="29">
        <f t="shared" si="13"/>
        <v>2026</v>
      </c>
      <c r="L27" s="33">
        <v>7255000</v>
      </c>
      <c r="M27" s="30" t="str">
        <f t="shared" si="14"/>
        <v>P</v>
      </c>
      <c r="N27" s="40">
        <v>-9489</v>
      </c>
      <c r="O27" s="40">
        <v>6386500</v>
      </c>
      <c r="P27" s="41"/>
      <c r="Q27" s="40">
        <f t="shared" si="15"/>
        <v>-16416</v>
      </c>
      <c r="R27" s="30"/>
      <c r="S27" s="30"/>
      <c r="T27" s="30" t="str">
        <f t="shared" si="16"/>
        <v>P</v>
      </c>
      <c r="U27" s="40">
        <v>-25905</v>
      </c>
      <c r="V27" s="176">
        <v>6386500</v>
      </c>
      <c r="W27" s="174" t="str">
        <f t="shared" si="17"/>
        <v>-</v>
      </c>
    </row>
    <row r="28" spans="1:23" s="1" customFormat="1" x14ac:dyDescent="0.2">
      <c r="A28" s="166" t="s">
        <v>4</v>
      </c>
      <c r="B28" s="166" t="str">
        <f t="shared" ref="B28:B29" si="18">CONCATENATE(A28," - EMP")</f>
        <v>S1600 - EMP</v>
      </c>
      <c r="C28" s="166" t="s">
        <v>150</v>
      </c>
      <c r="D28" s="166" t="s">
        <v>23</v>
      </c>
      <c r="E28" s="166" t="s">
        <v>139</v>
      </c>
      <c r="F28" s="166" t="s">
        <v>29</v>
      </c>
      <c r="G28" s="160" t="s">
        <v>141</v>
      </c>
      <c r="H28" s="159" t="s">
        <v>26</v>
      </c>
      <c r="I28" s="170">
        <v>45595</v>
      </c>
      <c r="J28" s="170">
        <v>47042</v>
      </c>
      <c r="K28" s="161">
        <f t="shared" si="13"/>
        <v>2028</v>
      </c>
      <c r="L28" s="165">
        <v>1027000</v>
      </c>
      <c r="M28" s="162" t="str">
        <f t="shared" si="14"/>
        <v>A</v>
      </c>
      <c r="N28" s="175">
        <v>14324.82</v>
      </c>
      <c r="O28" s="175">
        <v>1027000</v>
      </c>
      <c r="P28" s="164"/>
      <c r="Q28" s="163">
        <f t="shared" ref="Q28:Q29" si="19">+U28-N28-P28</f>
        <v>-9147.84</v>
      </c>
      <c r="R28" s="162"/>
      <c r="S28" s="162"/>
      <c r="T28" s="162" t="str">
        <f t="shared" si="2"/>
        <v>A</v>
      </c>
      <c r="U28" s="163">
        <v>5176.9799999999996</v>
      </c>
      <c r="V28" s="175">
        <v>2827000</v>
      </c>
      <c r="W28" s="104" t="str">
        <f t="shared" ref="W28:W29" si="20">IF(OR(AND(N28&gt;0,U28&gt;0),AND(N28&lt;0,U28&lt;0)),"-","CHGT SENS")</f>
        <v>-</v>
      </c>
    </row>
    <row r="29" spans="1:23" s="1" customFormat="1" x14ac:dyDescent="0.2">
      <c r="A29" s="166" t="s">
        <v>4</v>
      </c>
      <c r="B29" s="166" t="str">
        <f t="shared" si="18"/>
        <v>S1600 - EMP</v>
      </c>
      <c r="C29" s="166" t="s">
        <v>150</v>
      </c>
      <c r="D29" s="166" t="s">
        <v>23</v>
      </c>
      <c r="E29" s="166" t="s">
        <v>140</v>
      </c>
      <c r="F29" s="166" t="s">
        <v>29</v>
      </c>
      <c r="G29" s="160" t="s">
        <v>142</v>
      </c>
      <c r="H29" s="159" t="s">
        <v>34</v>
      </c>
      <c r="I29" s="170">
        <v>45595</v>
      </c>
      <c r="J29" s="170">
        <v>47042</v>
      </c>
      <c r="K29" s="161">
        <f t="shared" si="13"/>
        <v>2028</v>
      </c>
      <c r="L29" s="165">
        <v>1027000</v>
      </c>
      <c r="M29" s="162" t="str">
        <f t="shared" si="14"/>
        <v>P</v>
      </c>
      <c r="N29" s="175">
        <v>-92166.14</v>
      </c>
      <c r="O29" s="175">
        <v>1027000</v>
      </c>
      <c r="P29" s="164"/>
      <c r="Q29" s="163">
        <f t="shared" si="19"/>
        <v>-14613.910000000003</v>
      </c>
      <c r="R29" s="162"/>
      <c r="S29" s="162"/>
      <c r="T29" s="162" t="str">
        <f t="shared" si="2"/>
        <v>P</v>
      </c>
      <c r="U29" s="163">
        <v>-106780.05</v>
      </c>
      <c r="V29" s="175">
        <v>2827000</v>
      </c>
      <c r="W29" s="104" t="str">
        <f t="shared" si="20"/>
        <v>-</v>
      </c>
    </row>
    <row r="30" spans="1:23" x14ac:dyDescent="0.2">
      <c r="A30" s="82"/>
      <c r="B30" s="83"/>
      <c r="C30" s="83"/>
      <c r="D30" s="83"/>
      <c r="E30" s="83"/>
      <c r="F30" s="83"/>
      <c r="G30" s="84"/>
      <c r="H30" s="83"/>
      <c r="I30" s="85"/>
      <c r="J30" s="85"/>
      <c r="K30" s="86"/>
      <c r="L30" s="87"/>
      <c r="M30" s="167"/>
      <c r="N30" s="168"/>
      <c r="O30" s="168"/>
      <c r="P30" s="169"/>
      <c r="Q30" s="168"/>
      <c r="R30" s="167"/>
      <c r="S30" s="167"/>
      <c r="T30" s="167"/>
      <c r="U30" s="168"/>
      <c r="V30" s="168"/>
      <c r="W30" s="25"/>
    </row>
    <row r="31" spans="1:23" ht="14.45" customHeight="1" x14ac:dyDescent="0.2">
      <c r="A31" s="36" t="s">
        <v>50</v>
      </c>
      <c r="B31" s="36" t="str">
        <f t="shared" ref="B31:B32" si="21">CONCATENATE(A31," - EMP")</f>
        <v>S1754 - EMP</v>
      </c>
      <c r="C31" s="36" t="s">
        <v>150</v>
      </c>
      <c r="D31" s="36" t="s">
        <v>51</v>
      </c>
      <c r="E31" s="36" t="s">
        <v>52</v>
      </c>
      <c r="F31" s="36" t="s">
        <v>45</v>
      </c>
      <c r="G31" s="37" t="s">
        <v>53</v>
      </c>
      <c r="H31" s="36" t="s">
        <v>39</v>
      </c>
      <c r="I31" s="38">
        <v>44013</v>
      </c>
      <c r="J31" s="38">
        <v>45474</v>
      </c>
      <c r="K31" s="29">
        <f t="shared" ref="K31:K32" si="22">YEAR(J31)</f>
        <v>2024</v>
      </c>
      <c r="L31" s="33">
        <v>1426731.29</v>
      </c>
      <c r="M31" s="30" t="str">
        <f t="shared" ref="M31:M32" si="23">+IF(N31&lt;0,"P","A")</f>
        <v>A</v>
      </c>
      <c r="N31" s="40">
        <v>0</v>
      </c>
      <c r="O31" s="40">
        <v>0</v>
      </c>
      <c r="P31" s="41"/>
      <c r="Q31" s="40">
        <f t="shared" ref="Q31:Q32" si="24">+U31-N31-P31</f>
        <v>0</v>
      </c>
      <c r="R31" s="30"/>
      <c r="S31" s="30"/>
      <c r="T31" s="30" t="str">
        <f t="shared" si="2"/>
        <v>A</v>
      </c>
      <c r="U31" s="40"/>
      <c r="V31" s="40"/>
      <c r="W31" s="25" t="str">
        <f t="shared" ref="W31:W32" si="25">IF(OR(AND(N31&gt;0,U31&gt;0),AND(N31&lt;0,U31&lt;0)),"-","CHGT SENS")</f>
        <v>CHGT SENS</v>
      </c>
    </row>
    <row r="32" spans="1:23" ht="14.45" customHeight="1" x14ac:dyDescent="0.2">
      <c r="A32" s="36" t="s">
        <v>50</v>
      </c>
      <c r="B32" s="36" t="str">
        <f t="shared" si="21"/>
        <v>S1754 - EMP</v>
      </c>
      <c r="C32" s="36" t="s">
        <v>150</v>
      </c>
      <c r="D32" s="36" t="s">
        <v>51</v>
      </c>
      <c r="E32" s="36" t="s">
        <v>52</v>
      </c>
      <c r="F32" s="32" t="s">
        <v>54</v>
      </c>
      <c r="G32" s="37" t="s">
        <v>55</v>
      </c>
      <c r="H32" s="36" t="s">
        <v>39</v>
      </c>
      <c r="I32" s="38">
        <v>44013</v>
      </c>
      <c r="J32" s="38">
        <v>45474</v>
      </c>
      <c r="K32" s="29">
        <f t="shared" si="22"/>
        <v>2024</v>
      </c>
      <c r="L32" s="33">
        <v>951154.19</v>
      </c>
      <c r="M32" s="30" t="str">
        <f t="shared" si="23"/>
        <v>A</v>
      </c>
      <c r="N32" s="40">
        <v>0</v>
      </c>
      <c r="O32" s="40">
        <v>0</v>
      </c>
      <c r="P32" s="41"/>
      <c r="Q32" s="40">
        <f t="shared" si="24"/>
        <v>0</v>
      </c>
      <c r="R32" s="30"/>
      <c r="S32" s="30"/>
      <c r="T32" s="30" t="str">
        <f t="shared" si="2"/>
        <v>A</v>
      </c>
      <c r="U32" s="40"/>
      <c r="V32" s="40"/>
      <c r="W32" s="25" t="str">
        <f t="shared" si="25"/>
        <v>CHGT SENS</v>
      </c>
    </row>
    <row r="33" spans="1:24" x14ac:dyDescent="0.2">
      <c r="A33" s="82"/>
      <c r="B33" s="83"/>
      <c r="C33" s="83"/>
      <c r="D33" s="83"/>
      <c r="E33" s="83"/>
      <c r="F33" s="83"/>
      <c r="G33" s="84"/>
      <c r="H33" s="83"/>
      <c r="I33" s="85"/>
      <c r="J33" s="85"/>
      <c r="K33" s="86"/>
      <c r="L33" s="87"/>
      <c r="M33" s="167"/>
      <c r="N33" s="168"/>
      <c r="O33" s="168"/>
      <c r="P33" s="169"/>
      <c r="Q33" s="168"/>
      <c r="R33" s="167"/>
      <c r="S33" s="167"/>
      <c r="T33" s="167"/>
      <c r="U33" s="168"/>
      <c r="V33" s="168"/>
      <c r="W33" s="25"/>
    </row>
    <row r="34" spans="1:24" x14ac:dyDescent="0.2">
      <c r="A34" s="26" t="s">
        <v>109</v>
      </c>
      <c r="B34" s="26" t="str">
        <f>CONCATENATE(A34," - CB")</f>
        <v>S1971 - CB</v>
      </c>
      <c r="C34" s="26" t="s">
        <v>152</v>
      </c>
      <c r="D34" s="26" t="s">
        <v>51</v>
      </c>
      <c r="E34" s="26" t="s">
        <v>130</v>
      </c>
      <c r="F34" s="26" t="s">
        <v>29</v>
      </c>
      <c r="G34" s="27" t="s">
        <v>127</v>
      </c>
      <c r="H34" s="26" t="s">
        <v>39</v>
      </c>
      <c r="I34" s="28">
        <v>45273</v>
      </c>
      <c r="J34" s="28">
        <v>46719</v>
      </c>
      <c r="K34" s="29">
        <f>YEAR(J34)</f>
        <v>2027</v>
      </c>
      <c r="L34" s="30">
        <v>6087606</v>
      </c>
      <c r="M34" s="30" t="str">
        <f t="shared" ref="M34" si="26">+IF(N34&lt;0,"P","A")</f>
        <v>P</v>
      </c>
      <c r="N34" s="40">
        <v>-66782.8</v>
      </c>
      <c r="O34" s="40">
        <v>5148865</v>
      </c>
      <c r="P34" s="41"/>
      <c r="Q34" s="40">
        <f>+U34-N34-P34</f>
        <v>-8061.9499999999971</v>
      </c>
      <c r="R34" s="30"/>
      <c r="S34" s="30"/>
      <c r="T34" s="30" t="str">
        <f t="shared" ref="T34" si="27">+IF(U34&lt;0,"P","A")</f>
        <v>P</v>
      </c>
      <c r="U34" s="40">
        <v>-74844.75</v>
      </c>
      <c r="V34" s="40">
        <v>4666379</v>
      </c>
      <c r="W34" s="25" t="str">
        <f>IF(OR(AND(N34&gt;0,U34&gt;0),AND(N34&lt;0,U34&lt;0)),"-","CHGT SENS")</f>
        <v>-</v>
      </c>
    </row>
    <row r="35" spans="1:24" x14ac:dyDescent="0.2">
      <c r="A35" s="82"/>
      <c r="B35" s="83"/>
      <c r="C35" s="83"/>
      <c r="D35" s="83"/>
      <c r="E35" s="83"/>
      <c r="F35" s="83"/>
      <c r="G35" s="84"/>
      <c r="H35" s="83"/>
      <c r="I35" s="85"/>
      <c r="J35" s="85"/>
      <c r="K35" s="86"/>
      <c r="L35" s="87"/>
      <c r="M35" s="167"/>
      <c r="N35" s="168"/>
      <c r="O35" s="168"/>
      <c r="P35" s="169"/>
      <c r="Q35" s="168"/>
      <c r="R35" s="167"/>
      <c r="S35" s="167"/>
      <c r="T35" s="167"/>
      <c r="U35" s="168"/>
      <c r="V35" s="168"/>
      <c r="W35" s="25"/>
    </row>
    <row r="36" spans="1:24" x14ac:dyDescent="0.2">
      <c r="A36" s="32" t="s">
        <v>2</v>
      </c>
      <c r="B36" s="32" t="str">
        <f t="shared" ref="B36:B39" si="28">CONCATENATE(A36," - EMP")</f>
        <v>S2240 - EMP</v>
      </c>
      <c r="C36" s="32" t="s">
        <v>150</v>
      </c>
      <c r="D36" s="32" t="s">
        <v>23</v>
      </c>
      <c r="E36" s="32" t="s">
        <v>138</v>
      </c>
      <c r="F36" s="32" t="s">
        <v>40</v>
      </c>
      <c r="G36" s="27">
        <v>28304524</v>
      </c>
      <c r="H36" s="32" t="s">
        <v>39</v>
      </c>
      <c r="I36" s="35">
        <v>44732</v>
      </c>
      <c r="J36" s="35">
        <v>45920</v>
      </c>
      <c r="K36" s="29">
        <f t="shared" ref="K36:K39" si="29">YEAR(J36)</f>
        <v>2025</v>
      </c>
      <c r="L36" s="33">
        <f>19048216</f>
        <v>19048216</v>
      </c>
      <c r="M36" s="30" t="str">
        <f t="shared" ref="M36:M39" si="30">+IF(N36&lt;0,"P","A")</f>
        <v>P</v>
      </c>
      <c r="N36" s="40">
        <v>-51877.85</v>
      </c>
      <c r="O36" s="178">
        <v>13722324</v>
      </c>
      <c r="P36" s="41"/>
      <c r="Q36" s="40">
        <f t="shared" ref="Q36:Q39" si="31">+U36-N36-P36</f>
        <v>35142.92</v>
      </c>
      <c r="R36" s="30"/>
      <c r="S36" s="30"/>
      <c r="T36" s="30" t="str">
        <f t="shared" si="2"/>
        <v>P</v>
      </c>
      <c r="U36" s="40">
        <v>-16734.93</v>
      </c>
      <c r="V36" s="176">
        <v>19048216</v>
      </c>
      <c r="W36" s="25" t="str">
        <f t="shared" ref="W36:W39" si="32">IF(OR(AND(N36&gt;0,U36&gt;0),AND(N36&lt;0,U36&lt;0)),"-","CHGT SENS")</f>
        <v>-</v>
      </c>
    </row>
    <row r="37" spans="1:24" x14ac:dyDescent="0.2">
      <c r="A37" s="32" t="s">
        <v>2</v>
      </c>
      <c r="B37" s="32" t="str">
        <f t="shared" ref="B37" si="33">CONCATENATE(A37," - EMP")</f>
        <v>S2240 - EMP</v>
      </c>
      <c r="C37" s="32" t="s">
        <v>150</v>
      </c>
      <c r="D37" s="32" t="s">
        <v>23</v>
      </c>
      <c r="E37" s="32" t="s">
        <v>143</v>
      </c>
      <c r="F37" s="32" t="s">
        <v>40</v>
      </c>
      <c r="G37" s="27">
        <v>28304528</v>
      </c>
      <c r="H37" s="32" t="s">
        <v>39</v>
      </c>
      <c r="I37" s="35">
        <v>44732</v>
      </c>
      <c r="J37" s="35">
        <v>45920</v>
      </c>
      <c r="K37" s="29">
        <f t="shared" ref="K37" si="34">YEAR(J37)</f>
        <v>2025</v>
      </c>
      <c r="L37" s="33">
        <f>19048216</f>
        <v>19048216</v>
      </c>
      <c r="M37" s="30" t="str">
        <f t="shared" ref="M37" si="35">+IF(N37&lt;0,"P","A")</f>
        <v>A</v>
      </c>
      <c r="N37" s="40">
        <v>62348.73</v>
      </c>
      <c r="O37" s="178">
        <v>13722324</v>
      </c>
      <c r="P37" s="41"/>
      <c r="Q37" s="40">
        <f t="shared" ref="Q37" si="36">+U37-N37-P37</f>
        <v>-54459.4</v>
      </c>
      <c r="R37" s="30"/>
      <c r="S37" s="30"/>
      <c r="T37" s="30" t="str">
        <f t="shared" ref="T37" si="37">+IF(U37&lt;0,"P","A")</f>
        <v>A</v>
      </c>
      <c r="U37" s="40">
        <v>7889.33</v>
      </c>
      <c r="V37" s="176">
        <v>19048216</v>
      </c>
      <c r="W37" s="25" t="str">
        <f t="shared" ref="W37" si="38">IF(OR(AND(N37&gt;0,U37&gt;0),AND(N37&lt;0,U37&lt;0)),"-","CHGT SENS")</f>
        <v>-</v>
      </c>
    </row>
    <row r="38" spans="1:24" x14ac:dyDescent="0.2">
      <c r="A38" s="32" t="s">
        <v>2</v>
      </c>
      <c r="B38" s="32" t="str">
        <f t="shared" si="28"/>
        <v>S2240 - EMP</v>
      </c>
      <c r="C38" s="32" t="s">
        <v>150</v>
      </c>
      <c r="D38" s="32" t="s">
        <v>23</v>
      </c>
      <c r="E38" s="32" t="s">
        <v>56</v>
      </c>
      <c r="F38" s="32" t="s">
        <v>25</v>
      </c>
      <c r="G38" s="27">
        <v>24717902</v>
      </c>
      <c r="H38" s="177" t="s">
        <v>26</v>
      </c>
      <c r="I38" s="35">
        <v>44732</v>
      </c>
      <c r="J38" s="35">
        <v>45920</v>
      </c>
      <c r="K38" s="29">
        <f t="shared" si="29"/>
        <v>2025</v>
      </c>
      <c r="L38" s="33">
        <v>19048216</v>
      </c>
      <c r="M38" s="30" t="str">
        <f t="shared" si="30"/>
        <v>A</v>
      </c>
      <c r="N38" s="40">
        <v>10428</v>
      </c>
      <c r="O38" s="40">
        <v>13722324</v>
      </c>
      <c r="P38" s="41"/>
      <c r="Q38" s="40">
        <f t="shared" si="31"/>
        <v>-19306</v>
      </c>
      <c r="R38" s="30"/>
      <c r="S38" s="30"/>
      <c r="T38" s="30" t="str">
        <f t="shared" si="2"/>
        <v>P</v>
      </c>
      <c r="U38" s="40">
        <v>-8878</v>
      </c>
      <c r="V38" s="176">
        <v>11500000</v>
      </c>
      <c r="W38" s="25" t="str">
        <f t="shared" si="32"/>
        <v>CHGT SENS</v>
      </c>
    </row>
    <row r="39" spans="1:24" x14ac:dyDescent="0.2">
      <c r="A39" s="32" t="s">
        <v>2</v>
      </c>
      <c r="B39" s="32" t="str">
        <f t="shared" si="28"/>
        <v>S2240 - EMP</v>
      </c>
      <c r="C39" s="32" t="s">
        <v>150</v>
      </c>
      <c r="D39" s="32" t="s">
        <v>23</v>
      </c>
      <c r="E39" s="32" t="s">
        <v>57</v>
      </c>
      <c r="F39" s="32" t="s">
        <v>25</v>
      </c>
      <c r="G39" s="27">
        <v>25235159</v>
      </c>
      <c r="H39" s="32" t="s">
        <v>39</v>
      </c>
      <c r="I39" s="35">
        <v>44824</v>
      </c>
      <c r="J39" s="35">
        <v>46650</v>
      </c>
      <c r="K39" s="29">
        <f t="shared" si="29"/>
        <v>2027</v>
      </c>
      <c r="L39" s="33">
        <v>491068</v>
      </c>
      <c r="M39" s="30" t="str">
        <f t="shared" si="30"/>
        <v>A</v>
      </c>
      <c r="N39" s="40">
        <v>147498</v>
      </c>
      <c r="O39" s="40">
        <v>4041066.28</v>
      </c>
      <c r="P39" s="41"/>
      <c r="Q39" s="40">
        <f t="shared" si="31"/>
        <v>-91974</v>
      </c>
      <c r="R39" s="30"/>
      <c r="S39" s="30"/>
      <c r="T39" s="30" t="str">
        <f t="shared" si="2"/>
        <v>A</v>
      </c>
      <c r="U39" s="40">
        <v>55524</v>
      </c>
      <c r="V39" s="176">
        <v>5228571</v>
      </c>
      <c r="W39" s="25" t="str">
        <f t="shared" si="32"/>
        <v>-</v>
      </c>
    </row>
    <row r="40" spans="1:24" x14ac:dyDescent="0.2">
      <c r="A40" s="82"/>
      <c r="B40" s="83"/>
      <c r="C40" s="83"/>
      <c r="D40" s="83"/>
      <c r="E40" s="83"/>
      <c r="F40" s="83"/>
      <c r="G40" s="84"/>
      <c r="H40" s="83"/>
      <c r="I40" s="85"/>
      <c r="J40" s="85"/>
      <c r="K40" s="86"/>
      <c r="L40" s="87"/>
      <c r="M40" s="167"/>
      <c r="N40" s="168"/>
      <c r="O40" s="168"/>
      <c r="P40" s="169"/>
      <c r="Q40" s="168"/>
      <c r="R40" s="167"/>
      <c r="S40" s="167"/>
      <c r="T40" s="167"/>
      <c r="U40" s="168"/>
      <c r="V40" s="168"/>
      <c r="W40" s="25"/>
    </row>
    <row r="41" spans="1:24" x14ac:dyDescent="0.2">
      <c r="A41" s="26" t="s">
        <v>5</v>
      </c>
      <c r="B41" s="26" t="str">
        <f>CONCATENATE(A41," - CB")</f>
        <v>S2345 - CB</v>
      </c>
      <c r="C41" s="26" t="s">
        <v>152</v>
      </c>
      <c r="D41" s="26" t="s">
        <v>23</v>
      </c>
      <c r="E41" s="26" t="s">
        <v>129</v>
      </c>
      <c r="F41" s="26" t="s">
        <v>29</v>
      </c>
      <c r="G41" s="27" t="s">
        <v>128</v>
      </c>
      <c r="H41" s="26" t="s">
        <v>39</v>
      </c>
      <c r="I41" s="28">
        <v>45231</v>
      </c>
      <c r="J41" s="28">
        <v>46692</v>
      </c>
      <c r="K41" s="29">
        <f>YEAR(J41)</f>
        <v>2027</v>
      </c>
      <c r="L41" s="30">
        <v>8657411</v>
      </c>
      <c r="M41" s="30" t="str">
        <f t="shared" ref="M41" si="39">+IF(N41&lt;0,"P","A")</f>
        <v>P</v>
      </c>
      <c r="N41" s="40">
        <v>-107319.8</v>
      </c>
      <c r="O41" s="40">
        <v>7993678</v>
      </c>
      <c r="P41" s="41"/>
      <c r="Q41" s="40">
        <f>+U41-N41-P41</f>
        <v>-24444.590000000011</v>
      </c>
      <c r="R41" s="30"/>
      <c r="S41" s="30"/>
      <c r="T41" s="30" t="str">
        <f t="shared" ref="T41" si="40">+IF(U41&lt;0,"P","A")</f>
        <v>P</v>
      </c>
      <c r="U41" s="40">
        <v>-131764.39000000001</v>
      </c>
      <c r="V41" s="176">
        <v>7658468</v>
      </c>
      <c r="W41" s="25" t="str">
        <f>IF(OR(AND(N41&gt;0,U41&gt;0),AND(N41&lt;0,U41&lt;0)),"-","CHGT SENS")</f>
        <v>-</v>
      </c>
    </row>
    <row r="42" spans="1:24" x14ac:dyDescent="0.2">
      <c r="A42" s="82"/>
      <c r="B42" s="83"/>
      <c r="C42" s="83"/>
      <c r="D42" s="83"/>
      <c r="E42" s="83"/>
      <c r="F42" s="83"/>
      <c r="G42" s="84"/>
      <c r="H42" s="83"/>
      <c r="I42" s="85"/>
      <c r="J42" s="85"/>
      <c r="K42" s="86"/>
      <c r="L42" s="87"/>
      <c r="M42" s="167"/>
      <c r="N42" s="168"/>
      <c r="O42" s="168"/>
      <c r="P42" s="169"/>
      <c r="Q42" s="168"/>
      <c r="R42" s="167"/>
      <c r="S42" s="167"/>
      <c r="T42" s="167"/>
      <c r="U42" s="168"/>
      <c r="V42" s="168"/>
      <c r="W42" s="25"/>
    </row>
    <row r="43" spans="1:24" ht="14.45" customHeight="1" x14ac:dyDescent="0.2">
      <c r="A43" s="36" t="s">
        <v>60</v>
      </c>
      <c r="B43" s="36" t="str">
        <f t="shared" ref="B43:B45" si="41">CONCATENATE(A43," - EMP")</f>
        <v>S2348 - EMP</v>
      </c>
      <c r="C43" s="36" t="s">
        <v>150</v>
      </c>
      <c r="D43" s="36" t="s">
        <v>51</v>
      </c>
      <c r="E43" s="36" t="s">
        <v>61</v>
      </c>
      <c r="F43" s="32" t="s">
        <v>54</v>
      </c>
      <c r="G43" s="37" t="s">
        <v>62</v>
      </c>
      <c r="H43" s="36" t="s">
        <v>39</v>
      </c>
      <c r="I43" s="38">
        <v>44013</v>
      </c>
      <c r="J43" s="38">
        <v>45474</v>
      </c>
      <c r="K43" s="29">
        <f t="shared" ref="K43:K45" si="42">YEAR(J43)</f>
        <v>2024</v>
      </c>
      <c r="L43" s="33">
        <v>5548215</v>
      </c>
      <c r="M43" s="30" t="str">
        <f t="shared" ref="M43:M45" si="43">+IF(N43&lt;0,"P","A")</f>
        <v>A</v>
      </c>
      <c r="N43" s="40">
        <v>0</v>
      </c>
      <c r="O43" s="40">
        <v>0</v>
      </c>
      <c r="P43" s="41"/>
      <c r="Q43" s="40">
        <f t="shared" ref="Q43:Q45" si="44">+U43-N43-P43</f>
        <v>0</v>
      </c>
      <c r="R43" s="30"/>
      <c r="S43" s="30"/>
      <c r="T43" s="30" t="str">
        <f t="shared" si="2"/>
        <v>A</v>
      </c>
      <c r="U43" s="40"/>
      <c r="V43" s="40"/>
      <c r="W43" s="25" t="str">
        <f t="shared" ref="W43:W45" si="45">IF(OR(AND(N43&gt;0,U43&gt;0),AND(N43&lt;0,U43&lt;0)),"-","CHGT SENS")</f>
        <v>CHGT SENS</v>
      </c>
    </row>
    <row r="44" spans="1:24" ht="14.45" customHeight="1" x14ac:dyDescent="0.2">
      <c r="A44" s="210" t="s">
        <v>63</v>
      </c>
      <c r="B44" s="210" t="str">
        <f t="shared" si="41"/>
        <v>S2351 - EMP</v>
      </c>
      <c r="C44" s="210" t="s">
        <v>150</v>
      </c>
      <c r="D44" s="210" t="s">
        <v>51</v>
      </c>
      <c r="E44" s="210" t="s">
        <v>64</v>
      </c>
      <c r="F44" s="210" t="s">
        <v>65</v>
      </c>
      <c r="G44" s="211" t="s">
        <v>66</v>
      </c>
      <c r="H44" s="210" t="s">
        <v>39</v>
      </c>
      <c r="I44" s="212">
        <v>44095</v>
      </c>
      <c r="J44" s="212">
        <v>45556</v>
      </c>
      <c r="K44" s="213">
        <f t="shared" si="42"/>
        <v>2024</v>
      </c>
      <c r="L44" s="214">
        <v>2229329</v>
      </c>
      <c r="M44" s="215" t="str">
        <f t="shared" si="43"/>
        <v>A</v>
      </c>
      <c r="N44" s="216">
        <v>0</v>
      </c>
      <c r="O44" s="216">
        <v>0</v>
      </c>
      <c r="P44" s="217"/>
      <c r="Q44" s="216">
        <f t="shared" si="44"/>
        <v>0</v>
      </c>
      <c r="R44" s="215"/>
      <c r="S44" s="215"/>
      <c r="T44" s="215" t="str">
        <f t="shared" si="2"/>
        <v>A</v>
      </c>
      <c r="U44" s="216"/>
      <c r="V44" s="216"/>
      <c r="W44" s="25" t="str">
        <f t="shared" si="45"/>
        <v>CHGT SENS</v>
      </c>
    </row>
    <row r="45" spans="1:24" x14ac:dyDescent="0.2">
      <c r="A45" s="210" t="s">
        <v>67</v>
      </c>
      <c r="B45" s="210" t="str">
        <f t="shared" si="41"/>
        <v>S2352 - EMP</v>
      </c>
      <c r="C45" s="210" t="s">
        <v>150</v>
      </c>
      <c r="D45" s="210" t="s">
        <v>51</v>
      </c>
      <c r="E45" s="210" t="s">
        <v>68</v>
      </c>
      <c r="F45" s="210" t="s">
        <v>65</v>
      </c>
      <c r="G45" s="211" t="s">
        <v>69</v>
      </c>
      <c r="H45" s="210" t="s">
        <v>39</v>
      </c>
      <c r="I45" s="212">
        <v>44079</v>
      </c>
      <c r="J45" s="212">
        <v>46270</v>
      </c>
      <c r="K45" s="213">
        <f t="shared" si="42"/>
        <v>2026</v>
      </c>
      <c r="L45" s="214">
        <v>4498150</v>
      </c>
      <c r="M45" s="215" t="str">
        <f t="shared" si="43"/>
        <v>A</v>
      </c>
      <c r="N45" s="216">
        <v>0</v>
      </c>
      <c r="O45" s="216">
        <v>0</v>
      </c>
      <c r="P45" s="217"/>
      <c r="Q45" s="216">
        <f t="shared" si="44"/>
        <v>0</v>
      </c>
      <c r="R45" s="215"/>
      <c r="S45" s="215"/>
      <c r="T45" s="215" t="str">
        <f t="shared" si="2"/>
        <v>A</v>
      </c>
      <c r="U45" s="216"/>
      <c r="V45" s="216"/>
      <c r="W45" s="25" t="str">
        <f t="shared" si="45"/>
        <v>CHGT SENS</v>
      </c>
      <c r="X45" s="8" t="s">
        <v>145</v>
      </c>
    </row>
    <row r="46" spans="1:24" x14ac:dyDescent="0.2">
      <c r="A46" s="82"/>
      <c r="B46" s="83"/>
      <c r="C46" s="83"/>
      <c r="D46" s="83"/>
      <c r="E46" s="83"/>
      <c r="F46" s="83"/>
      <c r="G46" s="84"/>
      <c r="H46" s="83"/>
      <c r="I46" s="85"/>
      <c r="J46" s="85"/>
      <c r="K46" s="86"/>
      <c r="L46" s="87"/>
      <c r="M46" s="167"/>
      <c r="N46" s="168"/>
      <c r="O46" s="168"/>
      <c r="P46" s="169"/>
      <c r="Q46" s="168"/>
      <c r="R46" s="167"/>
      <c r="S46" s="167"/>
      <c r="T46" s="167"/>
      <c r="U46" s="168"/>
      <c r="V46" s="168"/>
      <c r="W46" s="25"/>
    </row>
    <row r="47" spans="1:24" ht="14.45" customHeight="1" x14ac:dyDescent="0.2">
      <c r="A47" s="36" t="s">
        <v>70</v>
      </c>
      <c r="B47" s="36" t="str">
        <f>CONCATENATE(A47," - EMP")</f>
        <v>S2353 - EMP</v>
      </c>
      <c r="C47" s="36" t="s">
        <v>150</v>
      </c>
      <c r="D47" s="36" t="s">
        <v>51</v>
      </c>
      <c r="E47" s="36" t="s">
        <v>71</v>
      </c>
      <c r="F47" s="32" t="s">
        <v>54</v>
      </c>
      <c r="G47" s="37" t="s">
        <v>72</v>
      </c>
      <c r="H47" s="36" t="s">
        <v>39</v>
      </c>
      <c r="I47" s="38">
        <v>44012</v>
      </c>
      <c r="J47" s="38">
        <v>45657</v>
      </c>
      <c r="K47" s="29">
        <f>YEAR(J47)</f>
        <v>2024</v>
      </c>
      <c r="L47" s="33">
        <v>2850000</v>
      </c>
      <c r="M47" s="30" t="str">
        <f t="shared" ref="M47" si="46">+IF(N47&lt;0,"P","A")</f>
        <v>A</v>
      </c>
      <c r="N47" s="40">
        <v>0</v>
      </c>
      <c r="O47" s="40">
        <v>0</v>
      </c>
      <c r="P47" s="41"/>
      <c r="Q47" s="40">
        <f>+U47-N47-P47</f>
        <v>0</v>
      </c>
      <c r="R47" s="30"/>
      <c r="S47" s="30"/>
      <c r="T47" s="30" t="str">
        <f t="shared" si="2"/>
        <v>A</v>
      </c>
      <c r="U47" s="40"/>
      <c r="V47" s="40"/>
      <c r="W47" s="25" t="str">
        <f>IF(OR(AND(N47&gt;0,U47&gt;0),AND(N47&lt;0,U47&lt;0)),"-","CHGT SENS")</f>
        <v>CHGT SENS</v>
      </c>
    </row>
    <row r="48" spans="1:24" x14ac:dyDescent="0.2">
      <c r="A48" s="82"/>
      <c r="B48" s="83"/>
      <c r="C48" s="83"/>
      <c r="D48" s="83"/>
      <c r="E48" s="83"/>
      <c r="F48" s="83"/>
      <c r="G48" s="84"/>
      <c r="H48" s="83"/>
      <c r="I48" s="85"/>
      <c r="J48" s="85"/>
      <c r="K48" s="86"/>
      <c r="L48" s="87"/>
      <c r="M48" s="167"/>
      <c r="N48" s="168"/>
      <c r="O48" s="168"/>
      <c r="P48" s="169"/>
      <c r="Q48" s="168"/>
      <c r="R48" s="167"/>
      <c r="S48" s="167"/>
      <c r="T48" s="167"/>
      <c r="U48" s="168"/>
      <c r="V48" s="168"/>
      <c r="W48" s="25"/>
    </row>
    <row r="49" spans="1:23" x14ac:dyDescent="0.2">
      <c r="A49" s="36" t="s">
        <v>73</v>
      </c>
      <c r="B49" s="36" t="str">
        <f>CONCATENATE(A49," - EMP")</f>
        <v>S2356 - EMP</v>
      </c>
      <c r="C49" s="36" t="s">
        <v>150</v>
      </c>
      <c r="D49" s="36" t="s">
        <v>51</v>
      </c>
      <c r="E49" s="36" t="s">
        <v>74</v>
      </c>
      <c r="F49" s="36" t="s">
        <v>65</v>
      </c>
      <c r="G49" s="37" t="s">
        <v>75</v>
      </c>
      <c r="H49" s="36" t="s">
        <v>39</v>
      </c>
      <c r="I49" s="38">
        <v>44474</v>
      </c>
      <c r="J49" s="38">
        <v>46665</v>
      </c>
      <c r="K49" s="29">
        <f>YEAR(J49)</f>
        <v>2027</v>
      </c>
      <c r="L49" s="33">
        <v>4330490</v>
      </c>
      <c r="M49" s="30" t="str">
        <f t="shared" ref="M49" si="47">+IF(N49&lt;0,"P","A")</f>
        <v>A</v>
      </c>
      <c r="N49" s="40">
        <v>210035.59</v>
      </c>
      <c r="O49" s="40">
        <v>3472266</v>
      </c>
      <c r="P49" s="41"/>
      <c r="Q49" s="40">
        <f>+U49-N49-P49</f>
        <v>-57814.260000000009</v>
      </c>
      <c r="R49" s="30"/>
      <c r="S49" s="30"/>
      <c r="T49" s="30" t="str">
        <f t="shared" si="2"/>
        <v>A</v>
      </c>
      <c r="U49" s="40">
        <v>152221.32999999999</v>
      </c>
      <c r="V49" s="40">
        <v>3324806</v>
      </c>
      <c r="W49" s="25" t="str">
        <f>IF(OR(AND(N49&gt;0,U49&gt;0),AND(N49&lt;0,U49&lt;0)),"-","CHGT SENS")</f>
        <v>-</v>
      </c>
    </row>
    <row r="50" spans="1:23" x14ac:dyDescent="0.2">
      <c r="A50" s="82"/>
      <c r="B50" s="83"/>
      <c r="C50" s="83"/>
      <c r="D50" s="83"/>
      <c r="E50" s="83"/>
      <c r="F50" s="83"/>
      <c r="G50" s="84"/>
      <c r="H50" s="83"/>
      <c r="I50" s="85"/>
      <c r="J50" s="85"/>
      <c r="K50" s="86"/>
      <c r="L50" s="87"/>
      <c r="M50" s="167"/>
      <c r="N50" s="168"/>
      <c r="O50" s="168"/>
      <c r="P50" s="169"/>
      <c r="Q50" s="168"/>
      <c r="R50" s="167"/>
      <c r="S50" s="167"/>
      <c r="T50" s="167"/>
      <c r="U50" s="168"/>
      <c r="V50" s="168"/>
      <c r="W50" s="25"/>
    </row>
    <row r="51" spans="1:23" x14ac:dyDescent="0.2">
      <c r="A51" s="180" t="s">
        <v>6</v>
      </c>
      <c r="B51" s="26" t="str">
        <f t="shared" ref="B51:B52" si="48">CONCATENATE(A51," - CB")</f>
        <v>S1596 - CB</v>
      </c>
      <c r="C51" s="31" t="s">
        <v>152</v>
      </c>
      <c r="D51" s="171" t="s">
        <v>23</v>
      </c>
      <c r="E51" s="171" t="s">
        <v>111</v>
      </c>
      <c r="F51" s="171" t="s">
        <v>32</v>
      </c>
      <c r="G51" s="179">
        <v>2695554</v>
      </c>
      <c r="H51" s="171" t="s">
        <v>39</v>
      </c>
      <c r="I51" s="181">
        <v>45505</v>
      </c>
      <c r="J51" s="181">
        <v>47331</v>
      </c>
      <c r="K51" s="182">
        <v>2029</v>
      </c>
      <c r="L51" s="165">
        <v>4539346.47</v>
      </c>
      <c r="M51" s="175" t="str">
        <f t="shared" ref="M51:M52" si="49">+IF(N51&lt;0,"P","A")</f>
        <v>P</v>
      </c>
      <c r="N51" s="175">
        <v>-113243</v>
      </c>
      <c r="O51" s="175">
        <v>4508390</v>
      </c>
      <c r="P51" s="164"/>
      <c r="Q51" s="163">
        <f>+U51-N51-P51</f>
        <v>3823</v>
      </c>
      <c r="R51" s="162"/>
      <c r="S51" s="162"/>
      <c r="T51" s="162" t="str">
        <f t="shared" ref="T51:T52" si="50">+IF(U51&lt;0,"P","A")</f>
        <v>P</v>
      </c>
      <c r="U51" s="163">
        <v>-109420</v>
      </c>
      <c r="V51" s="165">
        <v>4443021</v>
      </c>
      <c r="W51" s="25" t="str">
        <f>IF(OR(AND(N51&gt;0,U51&gt;0),AND(N51&lt;0,U51&lt;0)),"-","CHGT SENS")</f>
        <v>-</v>
      </c>
    </row>
    <row r="52" spans="1:23" x14ac:dyDescent="0.2">
      <c r="A52" s="180" t="s">
        <v>6</v>
      </c>
      <c r="B52" s="26" t="str">
        <f t="shared" si="48"/>
        <v>S1596 - CB</v>
      </c>
      <c r="C52" s="31" t="s">
        <v>152</v>
      </c>
      <c r="D52" s="171" t="s">
        <v>23</v>
      </c>
      <c r="E52" s="171" t="s">
        <v>111</v>
      </c>
      <c r="F52" s="171" t="s">
        <v>32</v>
      </c>
      <c r="G52" s="179">
        <v>2695548</v>
      </c>
      <c r="H52" s="171" t="s">
        <v>39</v>
      </c>
      <c r="I52" s="181">
        <v>45505</v>
      </c>
      <c r="J52" s="181">
        <v>47331</v>
      </c>
      <c r="K52" s="182">
        <v>2029</v>
      </c>
      <c r="L52" s="165">
        <v>4539346.47</v>
      </c>
      <c r="M52" s="175" t="str">
        <f t="shared" si="49"/>
        <v>P</v>
      </c>
      <c r="N52" s="175">
        <v>-121226</v>
      </c>
      <c r="O52" s="175">
        <v>4508390</v>
      </c>
      <c r="P52" s="164"/>
      <c r="Q52" s="163">
        <f>+U52-N52-P52</f>
        <v>-3189</v>
      </c>
      <c r="R52" s="162"/>
      <c r="S52" s="162"/>
      <c r="T52" s="162" t="str">
        <f t="shared" si="50"/>
        <v>P</v>
      </c>
      <c r="U52" s="163">
        <v>-124415</v>
      </c>
      <c r="V52" s="165">
        <v>4443021</v>
      </c>
      <c r="W52" s="25" t="str">
        <f>IF(OR(AND(N52&gt;0,U52&gt;0),AND(N52&lt;0,U52&lt;0)),"-","CHGT SENS")</f>
        <v>-</v>
      </c>
    </row>
    <row r="53" spans="1:23" x14ac:dyDescent="0.2">
      <c r="A53" s="82"/>
      <c r="B53" s="83"/>
      <c r="C53" s="83"/>
      <c r="D53" s="83"/>
      <c r="E53" s="83"/>
      <c r="F53" s="83"/>
      <c r="G53" s="84"/>
      <c r="H53" s="83"/>
      <c r="I53" s="85"/>
      <c r="J53" s="85"/>
      <c r="K53" s="86"/>
      <c r="L53" s="87"/>
      <c r="M53" s="167"/>
      <c r="N53" s="168"/>
      <c r="O53" s="168"/>
      <c r="P53" s="169"/>
      <c r="Q53" s="168"/>
      <c r="R53" s="167"/>
      <c r="S53" s="167"/>
      <c r="T53" s="167"/>
      <c r="U53" s="168"/>
      <c r="V53" s="168"/>
      <c r="W53" s="25"/>
    </row>
    <row r="54" spans="1:23" x14ac:dyDescent="0.2">
      <c r="A54" s="32" t="s">
        <v>3</v>
      </c>
      <c r="B54" s="32" t="str">
        <f>CONCATENATE(A54," - EMP")</f>
        <v>S3000 - EMP</v>
      </c>
      <c r="C54" s="32" t="s">
        <v>150</v>
      </c>
      <c r="D54" s="32" t="s">
        <v>23</v>
      </c>
      <c r="E54" s="32" t="s">
        <v>58</v>
      </c>
      <c r="F54" s="32" t="s">
        <v>54</v>
      </c>
      <c r="G54" s="27" t="s">
        <v>59</v>
      </c>
      <c r="H54" s="26" t="s">
        <v>26</v>
      </c>
      <c r="I54" s="35">
        <v>44862</v>
      </c>
      <c r="J54" s="35">
        <v>46323</v>
      </c>
      <c r="K54" s="29">
        <f>YEAR(J54)</f>
        <v>2026</v>
      </c>
      <c r="L54" s="33">
        <v>15000000</v>
      </c>
      <c r="M54" s="30" t="str">
        <f>+IF(N54&lt;0,"P","A")</f>
        <v>P</v>
      </c>
      <c r="N54" s="40">
        <v>-161251.51999999999</v>
      </c>
      <c r="O54" s="40">
        <v>12642000</v>
      </c>
      <c r="P54" s="41"/>
      <c r="Q54" s="40">
        <f>+U54-N54-P54</f>
        <v>-1441.2799999999988</v>
      </c>
      <c r="R54" s="30"/>
      <c r="S54" s="30"/>
      <c r="T54" s="30" t="str">
        <f>+IF(U54&lt;0,"P","A")</f>
        <v>P</v>
      </c>
      <c r="U54" s="40">
        <v>-162692.79999999999</v>
      </c>
      <c r="V54" s="40">
        <v>12642000</v>
      </c>
      <c r="W54" s="25" t="str">
        <f>IF(OR(AND(N54&gt;0,U54&gt;0),AND(N54&lt;0,U54&lt;0)),"-","CHGT SENS")</f>
        <v>-</v>
      </c>
    </row>
    <row r="55" spans="1:23" x14ac:dyDescent="0.2">
      <c r="A55" s="82"/>
      <c r="B55" s="83"/>
      <c r="C55" s="83"/>
      <c r="D55" s="83"/>
      <c r="E55" s="83"/>
      <c r="F55" s="83"/>
      <c r="G55" s="84"/>
      <c r="H55" s="83"/>
      <c r="I55" s="85"/>
      <c r="J55" s="85"/>
      <c r="K55" s="86"/>
      <c r="L55" s="87"/>
      <c r="M55" s="167"/>
      <c r="N55" s="168"/>
      <c r="O55" s="168"/>
      <c r="P55" s="169"/>
      <c r="Q55" s="168"/>
      <c r="R55" s="167"/>
      <c r="S55" s="167"/>
      <c r="T55" s="167"/>
      <c r="U55" s="168"/>
      <c r="V55" s="168"/>
      <c r="W55" s="25"/>
    </row>
    <row r="56" spans="1:23" s="1" customFormat="1" x14ac:dyDescent="0.2">
      <c r="A56" s="171" t="s">
        <v>110</v>
      </c>
      <c r="B56" s="171" t="str">
        <f>CONCATENATE(A56," - EMP")</f>
        <v>S1755 - EMP</v>
      </c>
      <c r="C56" s="171" t="s">
        <v>150</v>
      </c>
      <c r="D56" s="171" t="s">
        <v>51</v>
      </c>
      <c r="E56" s="171" t="s">
        <v>136</v>
      </c>
      <c r="F56" s="166" t="s">
        <v>137</v>
      </c>
      <c r="G56" s="172">
        <v>5940638</v>
      </c>
      <c r="H56" s="171" t="s">
        <v>26</v>
      </c>
      <c r="I56" s="173">
        <v>45644</v>
      </c>
      <c r="J56" s="173">
        <v>49309</v>
      </c>
      <c r="K56" s="161">
        <f>YEAR(J56)</f>
        <v>2034</v>
      </c>
      <c r="L56" s="165">
        <v>6460000</v>
      </c>
      <c r="M56" s="162" t="str">
        <f t="shared" ref="M56:M57" si="51">+IF(N56&lt;0,"P","A")</f>
        <v>P</v>
      </c>
      <c r="N56" s="163">
        <v>-15979.49</v>
      </c>
      <c r="O56" s="163">
        <v>6460000</v>
      </c>
      <c r="P56" s="164"/>
      <c r="Q56" s="163">
        <f>+U56-N56-P56</f>
        <v>-16445.480000000003</v>
      </c>
      <c r="R56" s="162"/>
      <c r="S56" s="162"/>
      <c r="T56" s="162" t="str">
        <f t="shared" ref="T56" si="52">+IF(U56&lt;0,"P","A")</f>
        <v>P</v>
      </c>
      <c r="U56" s="163">
        <v>-32424.97</v>
      </c>
      <c r="V56" s="175">
        <v>6398800</v>
      </c>
      <c r="W56" s="104" t="str">
        <f>IF(OR(AND(N56&gt;0,U56&gt;0),AND(N56&lt;0,U56&lt;0)),"-","CHGT SENS")</f>
        <v>-</v>
      </c>
    </row>
    <row r="57" spans="1:23" s="1" customFormat="1" x14ac:dyDescent="0.2">
      <c r="A57" s="171" t="s">
        <v>110</v>
      </c>
      <c r="B57" s="171" t="str">
        <f>CONCATENATE(A57," - EMP")</f>
        <v>S1755 - EMP</v>
      </c>
      <c r="C57" s="171" t="s">
        <v>150</v>
      </c>
      <c r="D57" s="171" t="s">
        <v>51</v>
      </c>
      <c r="E57" s="171" t="s">
        <v>136</v>
      </c>
      <c r="F57" s="166" t="s">
        <v>144</v>
      </c>
      <c r="G57" s="179">
        <v>17501</v>
      </c>
      <c r="H57" s="171" t="s">
        <v>26</v>
      </c>
      <c r="I57" s="173">
        <v>45644</v>
      </c>
      <c r="J57" s="173">
        <v>49309</v>
      </c>
      <c r="K57" s="161">
        <f>YEAR(J57)</f>
        <v>2034</v>
      </c>
      <c r="L57" s="183">
        <v>10640000</v>
      </c>
      <c r="M57" s="162" t="str">
        <f t="shared" si="51"/>
        <v>P</v>
      </c>
      <c r="N57" s="163">
        <v>-66975.45</v>
      </c>
      <c r="O57" s="163">
        <v>10640000</v>
      </c>
      <c r="P57" s="164"/>
      <c r="Q57" s="163">
        <f>+U57-N57-P57</f>
        <v>84340.25</v>
      </c>
      <c r="R57" s="162"/>
      <c r="S57" s="162"/>
      <c r="T57" s="162" t="str">
        <f>+IF(U57&lt;0,"P","A")</f>
        <v>A</v>
      </c>
      <c r="U57" s="163">
        <v>17364.8</v>
      </c>
      <c r="V57" s="175">
        <v>10572800</v>
      </c>
      <c r="W57" s="104" t="str">
        <f>IF(OR(AND(N57&gt;0,U57&gt;0),AND(N57&lt;0,U57&lt;0)),"-","CHGT SENS")</f>
        <v>CHGT SENS</v>
      </c>
    </row>
    <row r="58" spans="1:23" x14ac:dyDescent="0.2">
      <c r="A58" s="82"/>
      <c r="B58" s="83"/>
      <c r="C58" s="83"/>
      <c r="D58" s="83"/>
      <c r="E58" s="83"/>
      <c r="F58" s="83"/>
      <c r="G58" s="84"/>
      <c r="H58" s="83"/>
      <c r="I58" s="85"/>
      <c r="J58" s="85"/>
      <c r="K58" s="86"/>
      <c r="L58" s="87"/>
      <c r="M58" s="167"/>
      <c r="N58" s="168"/>
      <c r="O58" s="168"/>
      <c r="P58" s="169"/>
      <c r="Q58" s="168"/>
      <c r="R58" s="167"/>
      <c r="S58" s="167"/>
      <c r="T58" s="167"/>
      <c r="U58" s="168"/>
      <c r="V58" s="168"/>
      <c r="W58" s="25"/>
    </row>
    <row r="59" spans="1:23" x14ac:dyDescent="0.2">
      <c r="A59" s="36" t="s">
        <v>76</v>
      </c>
      <c r="B59" s="36" t="str">
        <f t="shared" ref="B59:B60" si="53">CONCATENATE(A59," - EMP")</f>
        <v>S8971 - EMP</v>
      </c>
      <c r="C59" s="36" t="s">
        <v>150</v>
      </c>
      <c r="D59" s="36" t="s">
        <v>51</v>
      </c>
      <c r="E59" s="36" t="s">
        <v>77</v>
      </c>
      <c r="F59" s="36" t="s">
        <v>45</v>
      </c>
      <c r="G59" s="37" t="s">
        <v>78</v>
      </c>
      <c r="H59" s="36" t="s">
        <v>39</v>
      </c>
      <c r="I59" s="38">
        <v>44013</v>
      </c>
      <c r="J59" s="38">
        <v>46204</v>
      </c>
      <c r="K59" s="29">
        <f t="shared" ref="K59:K60" si="54">YEAR(J59)</f>
        <v>2026</v>
      </c>
      <c r="L59" s="33">
        <v>2854340.14</v>
      </c>
      <c r="M59" s="30" t="str">
        <f t="shared" ref="M59:M60" si="55">+IF(N59&lt;0,"P","A")</f>
        <v>A</v>
      </c>
      <c r="N59" s="40">
        <v>53058</v>
      </c>
      <c r="O59" s="40">
        <v>2278166</v>
      </c>
      <c r="P59" s="41"/>
      <c r="Q59" s="40">
        <f t="shared" ref="Q59:Q60" si="56">+U59-N59-P59</f>
        <v>-25129</v>
      </c>
      <c r="R59" s="30"/>
      <c r="S59" s="30"/>
      <c r="T59" s="30" t="str">
        <f t="shared" si="2"/>
        <v>A</v>
      </c>
      <c r="U59" s="40">
        <v>27929</v>
      </c>
      <c r="V59" s="40">
        <v>2223636</v>
      </c>
      <c r="W59" s="25" t="str">
        <f t="shared" ref="W59:W60" si="57">IF(OR(AND(N59&gt;0,U59&gt;0),AND(N59&lt;0,U59&lt;0)),"-","CHGT SENS")</f>
        <v>-</v>
      </c>
    </row>
    <row r="60" spans="1:23" x14ac:dyDescent="0.2">
      <c r="A60" s="36" t="s">
        <v>76</v>
      </c>
      <c r="B60" s="36" t="str">
        <f t="shared" si="53"/>
        <v>S8971 - EMP</v>
      </c>
      <c r="C60" s="36" t="s">
        <v>150</v>
      </c>
      <c r="D60" s="36" t="s">
        <v>51</v>
      </c>
      <c r="E60" s="36" t="s">
        <v>77</v>
      </c>
      <c r="F60" s="32" t="s">
        <v>54</v>
      </c>
      <c r="G60" s="37" t="s">
        <v>79</v>
      </c>
      <c r="H60" s="36" t="s">
        <v>39</v>
      </c>
      <c r="I60" s="38">
        <v>44013</v>
      </c>
      <c r="J60" s="38">
        <v>46204</v>
      </c>
      <c r="K60" s="29">
        <f t="shared" si="54"/>
        <v>2026</v>
      </c>
      <c r="L60" s="33">
        <v>1902893.48</v>
      </c>
      <c r="M60" s="30" t="str">
        <f t="shared" si="55"/>
        <v>A</v>
      </c>
      <c r="N60" s="40">
        <v>36500.14</v>
      </c>
      <c r="O60" s="40">
        <v>1518777.31</v>
      </c>
      <c r="P60" s="41"/>
      <c r="Q60" s="40">
        <f t="shared" si="56"/>
        <v>-17155.87</v>
      </c>
      <c r="R60" s="30"/>
      <c r="S60" s="30"/>
      <c r="T60" s="30" t="str">
        <f t="shared" si="2"/>
        <v>A</v>
      </c>
      <c r="U60" s="40">
        <v>19344.27</v>
      </c>
      <c r="V60" s="40">
        <v>1482424.12</v>
      </c>
      <c r="W60" s="25" t="str">
        <f t="shared" si="57"/>
        <v>-</v>
      </c>
    </row>
    <row r="61" spans="1:23" x14ac:dyDescent="0.2">
      <c r="A61" s="82"/>
      <c r="B61" s="83"/>
      <c r="C61" s="83"/>
      <c r="D61" s="83"/>
      <c r="E61" s="83"/>
      <c r="F61" s="83"/>
      <c r="G61" s="84"/>
      <c r="H61" s="83"/>
      <c r="I61" s="85"/>
      <c r="J61" s="85"/>
      <c r="K61" s="86"/>
      <c r="L61" s="87"/>
      <c r="M61" s="167"/>
      <c r="N61" s="168"/>
      <c r="O61" s="168"/>
      <c r="P61" s="169"/>
      <c r="Q61" s="168"/>
      <c r="R61" s="167"/>
      <c r="S61" s="167"/>
      <c r="T61" s="167"/>
      <c r="U61" s="168"/>
      <c r="V61" s="168"/>
      <c r="W61" s="25"/>
    </row>
    <row r="62" spans="1:23" x14ac:dyDescent="0.2">
      <c r="A62" s="36" t="s">
        <v>80</v>
      </c>
      <c r="B62" s="36" t="str">
        <f>CONCATENATE(A62," - EMP")</f>
        <v>S8974 - EMP</v>
      </c>
      <c r="C62" s="36" t="s">
        <v>150</v>
      </c>
      <c r="D62" s="36" t="s">
        <v>51</v>
      </c>
      <c r="E62" s="36" t="s">
        <v>81</v>
      </c>
      <c r="F62" s="32" t="s">
        <v>54</v>
      </c>
      <c r="G62" s="37" t="s">
        <v>82</v>
      </c>
      <c r="H62" s="36" t="s">
        <v>39</v>
      </c>
      <c r="I62" s="38">
        <v>44036</v>
      </c>
      <c r="J62" s="38">
        <v>46227</v>
      </c>
      <c r="K62" s="29">
        <f>YEAR(J62)</f>
        <v>2026</v>
      </c>
      <c r="L62" s="33">
        <v>1866196</v>
      </c>
      <c r="M62" s="30" t="str">
        <f t="shared" ref="M62" si="58">+IF(N62&lt;0,"P","A")</f>
        <v>A</v>
      </c>
      <c r="N62" s="40">
        <v>27871.63</v>
      </c>
      <c r="O62" s="40">
        <v>1248239</v>
      </c>
      <c r="P62" s="41"/>
      <c r="Q62" s="40">
        <f>+U62-N62-P62</f>
        <v>-13146.800000000001</v>
      </c>
      <c r="R62" s="30"/>
      <c r="S62" s="30"/>
      <c r="T62" s="30" t="str">
        <f t="shared" si="2"/>
        <v>A</v>
      </c>
      <c r="U62" s="40">
        <v>14724.83</v>
      </c>
      <c r="V62" s="40">
        <v>1171449</v>
      </c>
      <c r="W62" s="25" t="str">
        <f>IF(OR(AND(N62&gt;0,U62&gt;0),AND(N62&lt;0,U62&lt;0)),"-","CHGT SENS")</f>
        <v>-</v>
      </c>
    </row>
    <row r="63" spans="1:23" x14ac:dyDescent="0.2">
      <c r="A63" s="82"/>
      <c r="B63" s="83"/>
      <c r="C63" s="83"/>
      <c r="D63" s="83"/>
      <c r="E63" s="83"/>
      <c r="F63" s="83"/>
      <c r="G63" s="84"/>
      <c r="H63" s="83"/>
      <c r="I63" s="85"/>
      <c r="J63" s="85"/>
      <c r="K63" s="86"/>
      <c r="L63" s="87"/>
      <c r="M63" s="167"/>
      <c r="N63" s="168"/>
      <c r="O63" s="168"/>
      <c r="P63" s="169"/>
      <c r="Q63" s="168"/>
      <c r="R63" s="167"/>
      <c r="S63" s="167"/>
      <c r="T63" s="167"/>
      <c r="U63" s="168"/>
      <c r="V63" s="168"/>
      <c r="W63" s="25"/>
    </row>
    <row r="64" spans="1:23" ht="12.75" thickBot="1" x14ac:dyDescent="0.25">
      <c r="A64" s="88" t="s">
        <v>83</v>
      </c>
      <c r="B64" s="36" t="str">
        <f>CONCATENATE(A64," - EMP")</f>
        <v>S8975 - EMP</v>
      </c>
      <c r="C64" s="88" t="s">
        <v>150</v>
      </c>
      <c r="D64" s="88" t="s">
        <v>51</v>
      </c>
      <c r="E64" s="88" t="s">
        <v>84</v>
      </c>
      <c r="F64" s="31" t="s">
        <v>54</v>
      </c>
      <c r="G64" s="89" t="s">
        <v>85</v>
      </c>
      <c r="H64" s="88" t="s">
        <v>39</v>
      </c>
      <c r="I64" s="90">
        <v>44056</v>
      </c>
      <c r="J64" s="90">
        <v>46247</v>
      </c>
      <c r="K64" s="29">
        <f>YEAR(J64)</f>
        <v>2026</v>
      </c>
      <c r="L64" s="91">
        <v>4766503</v>
      </c>
      <c r="M64" s="30" t="str">
        <f t="shared" ref="M64" si="59">+IF(N64&lt;0,"P","A")</f>
        <v>A</v>
      </c>
      <c r="N64" s="40">
        <v>69923.48</v>
      </c>
      <c r="O64" s="40">
        <v>3221912</v>
      </c>
      <c r="P64" s="41"/>
      <c r="Q64" s="40">
        <f>+U64-N64-P64</f>
        <v>-32600.489999999998</v>
      </c>
      <c r="R64" s="30"/>
      <c r="S64" s="30"/>
      <c r="T64" s="30" t="str">
        <f t="shared" si="2"/>
        <v>A</v>
      </c>
      <c r="U64" s="40">
        <v>37322.99</v>
      </c>
      <c r="V64" s="40">
        <v>3030403</v>
      </c>
      <c r="W64" s="25" t="str">
        <f t="shared" ref="W64:W65" si="60">IF(OR(AND(N64&gt;0,U64&gt;0),AND(N64&lt;0,U64&lt;0)),"-","CHGT SENS")</f>
        <v>-</v>
      </c>
    </row>
    <row r="65" spans="1:23" ht="12.75" thickTop="1" x14ac:dyDescent="0.2">
      <c r="A65" s="106" t="s">
        <v>86</v>
      </c>
      <c r="B65" s="106"/>
      <c r="C65" s="106"/>
      <c r="D65" s="106"/>
      <c r="E65" s="106" t="s">
        <v>87</v>
      </c>
      <c r="F65" s="92"/>
      <c r="G65" s="92"/>
      <c r="H65" s="92"/>
      <c r="I65" s="93"/>
      <c r="J65" s="93"/>
      <c r="K65" s="93"/>
      <c r="L65" s="94"/>
      <c r="M65" s="158">
        <f t="shared" ref="M65:V65" si="61">SUM(M9:M64)</f>
        <v>0</v>
      </c>
      <c r="N65" s="158">
        <f t="shared" si="61"/>
        <v>-2355455.52</v>
      </c>
      <c r="O65" s="158">
        <f t="shared" si="61"/>
        <v>293746241.58999997</v>
      </c>
      <c r="P65" s="158">
        <f t="shared" si="61"/>
        <v>0</v>
      </c>
      <c r="Q65" s="158">
        <f t="shared" si="61"/>
        <v>-470058.93999999989</v>
      </c>
      <c r="R65" s="158">
        <f t="shared" si="61"/>
        <v>0</v>
      </c>
      <c r="S65" s="158">
        <f t="shared" si="61"/>
        <v>0</v>
      </c>
      <c r="T65" s="158">
        <f t="shared" si="61"/>
        <v>0</v>
      </c>
      <c r="U65" s="158">
        <f t="shared" si="61"/>
        <v>-2825514.46</v>
      </c>
      <c r="V65" s="158">
        <f t="shared" si="61"/>
        <v>310194805.12</v>
      </c>
      <c r="W65" s="25" t="str">
        <f t="shared" si="60"/>
        <v>-</v>
      </c>
    </row>
    <row r="66" spans="1:23" x14ac:dyDescent="0.2">
      <c r="A66" s="117"/>
      <c r="B66" s="117"/>
      <c r="C66" s="117"/>
      <c r="D66" s="117"/>
      <c r="E66" s="117"/>
      <c r="F66" s="39"/>
      <c r="G66" s="39"/>
      <c r="H66" s="39"/>
      <c r="I66" s="118"/>
      <c r="J66" s="118"/>
      <c r="K66" s="118"/>
      <c r="L66" s="119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25"/>
    </row>
    <row r="67" spans="1:23" s="148" customFormat="1" x14ac:dyDescent="0.2">
      <c r="A67" s="141"/>
      <c r="B67" s="141"/>
      <c r="C67" s="141"/>
      <c r="D67" s="142" t="s">
        <v>23</v>
      </c>
      <c r="E67" s="141"/>
      <c r="F67" s="143"/>
      <c r="G67" s="143"/>
      <c r="H67" s="143"/>
      <c r="I67" s="144"/>
      <c r="J67" s="144"/>
      <c r="K67" s="144"/>
      <c r="L67" s="145"/>
      <c r="M67" s="146">
        <f t="shared" ref="M67:V68" si="62">SUMIF($D$9:$D$64,$D67,M$9:M$64)</f>
        <v>0</v>
      </c>
      <c r="N67" s="146">
        <f t="shared" si="62"/>
        <v>-2603106.62</v>
      </c>
      <c r="O67" s="146">
        <f t="shared" si="62"/>
        <v>259758016.28</v>
      </c>
      <c r="P67" s="146">
        <f t="shared" si="62"/>
        <v>0</v>
      </c>
      <c r="Q67" s="146">
        <f t="shared" si="62"/>
        <v>-384045.33999999985</v>
      </c>
      <c r="R67" s="146">
        <f t="shared" si="62"/>
        <v>0</v>
      </c>
      <c r="S67" s="146">
        <f t="shared" si="62"/>
        <v>0</v>
      </c>
      <c r="T67" s="146">
        <f t="shared" si="62"/>
        <v>0</v>
      </c>
      <c r="U67" s="146">
        <f t="shared" si="62"/>
        <v>-2987151.96</v>
      </c>
      <c r="V67" s="146">
        <f t="shared" si="62"/>
        <v>277324108</v>
      </c>
      <c r="W67" s="147"/>
    </row>
    <row r="68" spans="1:23" s="148" customFormat="1" ht="12.75" thickBot="1" x14ac:dyDescent="0.25">
      <c r="A68" s="149"/>
      <c r="B68" s="149"/>
      <c r="C68" s="149"/>
      <c r="D68" s="150" t="s">
        <v>51</v>
      </c>
      <c r="E68" s="149"/>
      <c r="F68" s="149"/>
      <c r="G68" s="149"/>
      <c r="H68" s="149"/>
      <c r="I68" s="149"/>
      <c r="J68" s="149"/>
      <c r="K68" s="149"/>
      <c r="L68" s="151"/>
      <c r="M68" s="152">
        <f t="shared" si="62"/>
        <v>0</v>
      </c>
      <c r="N68" s="152">
        <f t="shared" si="62"/>
        <v>247651.09999999998</v>
      </c>
      <c r="O68" s="152">
        <f t="shared" si="62"/>
        <v>33988225.310000002</v>
      </c>
      <c r="P68" s="152">
        <f t="shared" si="62"/>
        <v>0</v>
      </c>
      <c r="Q68" s="152">
        <f t="shared" si="62"/>
        <v>-86013.6</v>
      </c>
      <c r="R68" s="152">
        <f t="shared" si="62"/>
        <v>0</v>
      </c>
      <c r="S68" s="152">
        <f t="shared" si="62"/>
        <v>0</v>
      </c>
      <c r="T68" s="152">
        <f t="shared" si="62"/>
        <v>0</v>
      </c>
      <c r="U68" s="152">
        <f t="shared" si="62"/>
        <v>161637.5</v>
      </c>
      <c r="V68" s="152">
        <f t="shared" si="62"/>
        <v>32870697.120000001</v>
      </c>
      <c r="W68" s="147"/>
    </row>
    <row r="69" spans="1:23" s="154" customFormat="1" ht="12.75" thickTop="1" x14ac:dyDescent="0.2">
      <c r="A69" s="153"/>
      <c r="B69" s="153"/>
      <c r="C69" s="153"/>
      <c r="E69" s="153"/>
      <c r="F69" s="153"/>
      <c r="G69" s="153"/>
      <c r="H69" s="153"/>
      <c r="I69" s="153"/>
      <c r="J69" s="153"/>
      <c r="K69" s="153"/>
      <c r="L69" s="155"/>
      <c r="M69" s="156">
        <f t="shared" ref="M69:O69" si="63">SUM(M67:M68)</f>
        <v>0</v>
      </c>
      <c r="N69" s="156">
        <f t="shared" si="63"/>
        <v>-2355455.52</v>
      </c>
      <c r="O69" s="156">
        <f t="shared" si="63"/>
        <v>293746241.59000003</v>
      </c>
      <c r="P69" s="156">
        <f t="shared" ref="P69:V69" si="64">SUM(P67:P68)</f>
        <v>0</v>
      </c>
      <c r="Q69" s="156">
        <f t="shared" si="64"/>
        <v>-470058.93999999983</v>
      </c>
      <c r="R69" s="156">
        <f t="shared" si="64"/>
        <v>0</v>
      </c>
      <c r="S69" s="156">
        <f t="shared" si="64"/>
        <v>0</v>
      </c>
      <c r="T69" s="156">
        <f t="shared" si="64"/>
        <v>0</v>
      </c>
      <c r="U69" s="156">
        <f t="shared" si="64"/>
        <v>-2825514.46</v>
      </c>
      <c r="V69" s="156">
        <f t="shared" si="64"/>
        <v>310194805.12</v>
      </c>
      <c r="W69" s="157"/>
    </row>
    <row r="70" spans="1:23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11"/>
      <c r="M70" s="6"/>
      <c r="N70" s="6"/>
      <c r="O70" s="11"/>
      <c r="P70" s="6"/>
      <c r="Q70" s="6"/>
      <c r="R70" s="6"/>
      <c r="S70" s="6"/>
      <c r="T70" s="6"/>
      <c r="U70" s="6"/>
      <c r="V70" s="11"/>
      <c r="W70" s="25"/>
    </row>
    <row r="71" spans="1:23" x14ac:dyDescent="0.2">
      <c r="A71" s="193" t="s">
        <v>88</v>
      </c>
      <c r="B71" s="193"/>
      <c r="C71" s="193"/>
      <c r="D71" s="193" t="s">
        <v>23</v>
      </c>
      <c r="E71" s="193" t="s">
        <v>89</v>
      </c>
      <c r="F71" s="193" t="s">
        <v>90</v>
      </c>
      <c r="G71" s="194">
        <v>36277687</v>
      </c>
      <c r="H71" s="193" t="s">
        <v>39</v>
      </c>
      <c r="I71" s="195"/>
      <c r="J71" s="195">
        <v>45442</v>
      </c>
      <c r="K71" s="196">
        <f t="shared" ref="K71:K81" si="65">YEAR(J71)</f>
        <v>2024</v>
      </c>
      <c r="L71" s="197">
        <v>8900000</v>
      </c>
      <c r="M71" s="197" t="str">
        <f t="shared" ref="M71:M81" si="66">+IF(N71&lt;0,"P","A")</f>
        <v>A</v>
      </c>
      <c r="N71" s="198">
        <v>35268.79</v>
      </c>
      <c r="O71" s="198">
        <v>0</v>
      </c>
      <c r="P71" s="199"/>
      <c r="Q71" s="199"/>
      <c r="R71" s="197"/>
      <c r="S71" s="197"/>
      <c r="T71" s="197" t="s">
        <v>48</v>
      </c>
      <c r="U71" s="198">
        <v>35268.79</v>
      </c>
      <c r="V71" s="198">
        <v>0</v>
      </c>
      <c r="W71" s="25" t="str">
        <f t="shared" ref="W71:W81" si="67">IF(OR(AND(N71&gt;0,U71&gt;0),AND(N71&lt;0,U71&lt;0)),"-","CHGT SENS")</f>
        <v>-</v>
      </c>
    </row>
    <row r="72" spans="1:23" x14ac:dyDescent="0.2">
      <c r="A72" s="193" t="s">
        <v>88</v>
      </c>
      <c r="B72" s="193"/>
      <c r="C72" s="193"/>
      <c r="D72" s="193" t="s">
        <v>23</v>
      </c>
      <c r="E72" s="193" t="s">
        <v>113</v>
      </c>
      <c r="F72" s="193" t="s">
        <v>90</v>
      </c>
      <c r="G72" s="194">
        <v>9507461</v>
      </c>
      <c r="H72" s="193" t="s">
        <v>39</v>
      </c>
      <c r="I72" s="195">
        <v>44895</v>
      </c>
      <c r="J72" s="195">
        <v>48544</v>
      </c>
      <c r="K72" s="196">
        <f t="shared" si="65"/>
        <v>2032</v>
      </c>
      <c r="L72" s="197">
        <v>5000000</v>
      </c>
      <c r="M72" s="198" t="str">
        <f t="shared" si="66"/>
        <v>P</v>
      </c>
      <c r="N72" s="198">
        <v>-98454.58</v>
      </c>
      <c r="O72" s="198">
        <v>0</v>
      </c>
      <c r="P72" s="199"/>
      <c r="Q72" s="199"/>
      <c r="R72" s="198"/>
      <c r="S72" s="198"/>
      <c r="T72" s="197" t="s">
        <v>103</v>
      </c>
      <c r="U72" s="198">
        <v>-98454.58</v>
      </c>
      <c r="V72" s="198">
        <v>0</v>
      </c>
      <c r="W72" s="25" t="str">
        <f t="shared" si="67"/>
        <v>-</v>
      </c>
    </row>
    <row r="73" spans="1:23" x14ac:dyDescent="0.2">
      <c r="A73" s="193" t="s">
        <v>88</v>
      </c>
      <c r="B73" s="193"/>
      <c r="C73" s="193"/>
      <c r="D73" s="193" t="s">
        <v>23</v>
      </c>
      <c r="E73" s="193" t="s">
        <v>114</v>
      </c>
      <c r="F73" s="193" t="s">
        <v>90</v>
      </c>
      <c r="G73" s="194">
        <v>95521453</v>
      </c>
      <c r="H73" s="193" t="s">
        <v>39</v>
      </c>
      <c r="I73" s="195">
        <v>44895</v>
      </c>
      <c r="J73" s="195">
        <v>48544</v>
      </c>
      <c r="K73" s="196">
        <f t="shared" si="65"/>
        <v>2032</v>
      </c>
      <c r="L73" s="197">
        <v>9644992</v>
      </c>
      <c r="M73" s="198" t="str">
        <f t="shared" si="66"/>
        <v>P</v>
      </c>
      <c r="N73" s="198">
        <v>-100322.22</v>
      </c>
      <c r="O73" s="198">
        <v>0</v>
      </c>
      <c r="P73" s="199"/>
      <c r="Q73" s="199"/>
      <c r="R73" s="198"/>
      <c r="S73" s="198"/>
      <c r="T73" s="197" t="s">
        <v>103</v>
      </c>
      <c r="U73" s="198">
        <v>-100322.22</v>
      </c>
      <c r="V73" s="198">
        <v>0</v>
      </c>
      <c r="W73" s="25" t="str">
        <f t="shared" si="67"/>
        <v>-</v>
      </c>
    </row>
    <row r="74" spans="1:23" x14ac:dyDescent="0.2">
      <c r="A74" s="193" t="s">
        <v>88</v>
      </c>
      <c r="B74" s="193"/>
      <c r="C74" s="193"/>
      <c r="D74" s="193" t="s">
        <v>23</v>
      </c>
      <c r="E74" s="193" t="s">
        <v>91</v>
      </c>
      <c r="F74" s="193" t="s">
        <v>90</v>
      </c>
      <c r="G74" s="194">
        <v>36277672</v>
      </c>
      <c r="H74" s="193" t="s">
        <v>39</v>
      </c>
      <c r="I74" s="195"/>
      <c r="J74" s="195">
        <v>45442</v>
      </c>
      <c r="K74" s="196">
        <f t="shared" si="65"/>
        <v>2024</v>
      </c>
      <c r="L74" s="197">
        <v>5500000</v>
      </c>
      <c r="M74" s="197" t="str">
        <f t="shared" si="66"/>
        <v>A</v>
      </c>
      <c r="N74" s="198">
        <v>25983.22</v>
      </c>
      <c r="O74" s="198">
        <v>0</v>
      </c>
      <c r="P74" s="199"/>
      <c r="Q74" s="199"/>
      <c r="R74" s="197"/>
      <c r="S74" s="197"/>
      <c r="T74" s="197" t="s">
        <v>48</v>
      </c>
      <c r="U74" s="198">
        <v>25983.22</v>
      </c>
      <c r="V74" s="198">
        <v>0</v>
      </c>
      <c r="W74" s="25" t="str">
        <f t="shared" si="67"/>
        <v>-</v>
      </c>
    </row>
    <row r="75" spans="1:23" x14ac:dyDescent="0.2">
      <c r="A75" s="193" t="s">
        <v>88</v>
      </c>
      <c r="B75" s="193"/>
      <c r="C75" s="193"/>
      <c r="D75" s="193" t="s">
        <v>23</v>
      </c>
      <c r="E75" s="193" t="s">
        <v>92</v>
      </c>
      <c r="F75" s="193" t="s">
        <v>90</v>
      </c>
      <c r="G75" s="194">
        <v>36268219</v>
      </c>
      <c r="H75" s="193" t="s">
        <v>39</v>
      </c>
      <c r="I75" s="195"/>
      <c r="J75" s="195">
        <v>45442</v>
      </c>
      <c r="K75" s="196">
        <f t="shared" si="65"/>
        <v>2024</v>
      </c>
      <c r="L75" s="197">
        <v>7912500</v>
      </c>
      <c r="M75" s="197" t="str">
        <f t="shared" si="66"/>
        <v>A</v>
      </c>
      <c r="N75" s="198">
        <v>38845.279999999999</v>
      </c>
      <c r="O75" s="198">
        <v>0</v>
      </c>
      <c r="P75" s="199"/>
      <c r="Q75" s="199"/>
      <c r="R75" s="198"/>
      <c r="S75" s="198"/>
      <c r="T75" s="197" t="s">
        <v>48</v>
      </c>
      <c r="U75" s="198">
        <v>38845.279999999999</v>
      </c>
      <c r="V75" s="198">
        <v>0</v>
      </c>
      <c r="W75" s="25" t="str">
        <f t="shared" si="67"/>
        <v>-</v>
      </c>
    </row>
    <row r="76" spans="1:23" x14ac:dyDescent="0.2">
      <c r="A76" s="193" t="s">
        <v>88</v>
      </c>
      <c r="B76" s="193"/>
      <c r="C76" s="193"/>
      <c r="D76" s="193" t="s">
        <v>23</v>
      </c>
      <c r="E76" s="193" t="s">
        <v>93</v>
      </c>
      <c r="F76" s="193" t="s">
        <v>90</v>
      </c>
      <c r="G76" s="194">
        <v>22760826</v>
      </c>
      <c r="H76" s="193" t="s">
        <v>39</v>
      </c>
      <c r="I76" s="195"/>
      <c r="J76" s="195">
        <v>45072</v>
      </c>
      <c r="K76" s="196">
        <f t="shared" si="65"/>
        <v>2023</v>
      </c>
      <c r="L76" s="197">
        <v>13320000</v>
      </c>
      <c r="M76" s="197" t="str">
        <f t="shared" si="66"/>
        <v>A</v>
      </c>
      <c r="N76" s="198"/>
      <c r="O76" s="198">
        <v>0</v>
      </c>
      <c r="P76" s="199"/>
      <c r="Q76" s="199"/>
      <c r="R76" s="198"/>
      <c r="S76" s="198"/>
      <c r="T76" s="197" t="s">
        <v>48</v>
      </c>
      <c r="U76" s="198"/>
      <c r="V76" s="198">
        <v>0</v>
      </c>
      <c r="W76" s="25" t="str">
        <f t="shared" si="67"/>
        <v>CHGT SENS</v>
      </c>
    </row>
    <row r="77" spans="1:23" x14ac:dyDescent="0.2">
      <c r="A77" s="193" t="s">
        <v>88</v>
      </c>
      <c r="B77" s="193"/>
      <c r="C77" s="193"/>
      <c r="D77" s="193" t="s">
        <v>23</v>
      </c>
      <c r="E77" s="193" t="s">
        <v>93</v>
      </c>
      <c r="F77" s="193" t="s">
        <v>90</v>
      </c>
      <c r="G77" s="194">
        <v>22760831</v>
      </c>
      <c r="H77" s="193" t="s">
        <v>39</v>
      </c>
      <c r="I77" s="195"/>
      <c r="J77" s="195">
        <v>50551</v>
      </c>
      <c r="K77" s="200">
        <f t="shared" si="65"/>
        <v>2038</v>
      </c>
      <c r="L77" s="197">
        <v>21827000</v>
      </c>
      <c r="M77" s="197" t="str">
        <f t="shared" si="66"/>
        <v>A</v>
      </c>
      <c r="N77" s="198">
        <v>776357.66</v>
      </c>
      <c r="O77" s="198">
        <v>0</v>
      </c>
      <c r="P77" s="199"/>
      <c r="Q77" s="199"/>
      <c r="R77" s="198"/>
      <c r="S77" s="198"/>
      <c r="T77" s="197" t="s">
        <v>48</v>
      </c>
      <c r="U77" s="198">
        <v>776357.66</v>
      </c>
      <c r="V77" s="198">
        <v>0</v>
      </c>
      <c r="W77" s="25" t="str">
        <f t="shared" si="67"/>
        <v>-</v>
      </c>
    </row>
    <row r="78" spans="1:23" x14ac:dyDescent="0.2">
      <c r="A78" s="193" t="s">
        <v>88</v>
      </c>
      <c r="B78" s="193"/>
      <c r="C78" s="193"/>
      <c r="D78" s="193" t="s">
        <v>23</v>
      </c>
      <c r="E78" s="193" t="s">
        <v>94</v>
      </c>
      <c r="F78" s="193" t="s">
        <v>90</v>
      </c>
      <c r="G78" s="194">
        <v>80719995</v>
      </c>
      <c r="H78" s="193" t="s">
        <v>39</v>
      </c>
      <c r="I78" s="195">
        <v>44620</v>
      </c>
      <c r="J78" s="195">
        <v>48270</v>
      </c>
      <c r="K78" s="201">
        <f t="shared" si="65"/>
        <v>2032</v>
      </c>
      <c r="L78" s="202">
        <v>24700000</v>
      </c>
      <c r="M78" s="197" t="str">
        <f t="shared" si="66"/>
        <v>A</v>
      </c>
      <c r="N78" s="198">
        <v>1263609.17</v>
      </c>
      <c r="O78" s="198"/>
      <c r="P78" s="199"/>
      <c r="Q78" s="199"/>
      <c r="R78" s="198"/>
      <c r="S78" s="198"/>
      <c r="T78" s="197" t="s">
        <v>48</v>
      </c>
      <c r="U78" s="198">
        <v>1263609.17</v>
      </c>
      <c r="V78" s="198"/>
      <c r="W78" s="25" t="str">
        <f t="shared" si="67"/>
        <v>-</v>
      </c>
    </row>
    <row r="79" spans="1:23" x14ac:dyDescent="0.2">
      <c r="A79" s="193" t="s">
        <v>88</v>
      </c>
      <c r="B79" s="193"/>
      <c r="C79" s="193"/>
      <c r="D79" s="193" t="s">
        <v>23</v>
      </c>
      <c r="E79" s="193" t="s">
        <v>115</v>
      </c>
      <c r="F79" s="193" t="s">
        <v>90</v>
      </c>
      <c r="G79" s="194">
        <v>10147955</v>
      </c>
      <c r="H79" s="193" t="s">
        <v>39</v>
      </c>
      <c r="I79" s="195">
        <v>45110</v>
      </c>
      <c r="J79" s="195">
        <v>47568</v>
      </c>
      <c r="K79" s="196">
        <f t="shared" si="65"/>
        <v>2030</v>
      </c>
      <c r="L79" s="197">
        <v>8856000</v>
      </c>
      <c r="M79" s="197" t="str">
        <f t="shared" si="66"/>
        <v>A</v>
      </c>
      <c r="N79" s="197">
        <v>39616.21</v>
      </c>
      <c r="O79" s="198">
        <v>0</v>
      </c>
      <c r="P79" s="199"/>
      <c r="Q79" s="199"/>
      <c r="R79" s="198"/>
      <c r="S79" s="198"/>
      <c r="T79" s="197" t="s">
        <v>48</v>
      </c>
      <c r="U79" s="197">
        <v>39616.21</v>
      </c>
      <c r="V79" s="198">
        <v>0</v>
      </c>
      <c r="W79" s="25" t="str">
        <f t="shared" si="67"/>
        <v>-</v>
      </c>
    </row>
    <row r="80" spans="1:23" x14ac:dyDescent="0.2">
      <c r="A80" s="193" t="s">
        <v>88</v>
      </c>
      <c r="B80" s="193"/>
      <c r="C80" s="193"/>
      <c r="D80" s="193" t="s">
        <v>23</v>
      </c>
      <c r="E80" s="193" t="s">
        <v>116</v>
      </c>
      <c r="F80" s="193" t="s">
        <v>90</v>
      </c>
      <c r="G80" s="194">
        <v>103951892</v>
      </c>
      <c r="H80" s="193" t="s">
        <v>39</v>
      </c>
      <c r="I80" s="195">
        <v>45072</v>
      </c>
      <c r="J80" s="195">
        <v>45377</v>
      </c>
      <c r="K80" s="196">
        <f t="shared" si="65"/>
        <v>2024</v>
      </c>
      <c r="L80" s="197">
        <v>11667080.439999999</v>
      </c>
      <c r="M80" s="197" t="str">
        <f t="shared" si="66"/>
        <v>A</v>
      </c>
      <c r="N80" s="198">
        <v>17138.98</v>
      </c>
      <c r="O80" s="198">
        <v>0</v>
      </c>
      <c r="P80" s="199"/>
      <c r="Q80" s="199"/>
      <c r="R80" s="198"/>
      <c r="S80" s="198"/>
      <c r="T80" s="197" t="s">
        <v>48</v>
      </c>
      <c r="U80" s="198">
        <v>17138.98</v>
      </c>
      <c r="V80" s="198">
        <v>0</v>
      </c>
      <c r="W80" s="25" t="str">
        <f t="shared" si="67"/>
        <v>-</v>
      </c>
    </row>
    <row r="81" spans="1:23" x14ac:dyDescent="0.2">
      <c r="A81" s="193" t="s">
        <v>88</v>
      </c>
      <c r="B81" s="193"/>
      <c r="C81" s="193"/>
      <c r="D81" s="193" t="s">
        <v>23</v>
      </c>
      <c r="E81" s="193" t="s">
        <v>117</v>
      </c>
      <c r="F81" s="193" t="s">
        <v>90</v>
      </c>
      <c r="G81" s="194" t="s">
        <v>118</v>
      </c>
      <c r="H81" s="193" t="s">
        <v>39</v>
      </c>
      <c r="I81" s="195">
        <v>44620</v>
      </c>
      <c r="J81" s="195">
        <v>50066</v>
      </c>
      <c r="K81" s="200">
        <f t="shared" si="65"/>
        <v>2037</v>
      </c>
      <c r="L81" s="197">
        <v>9713606</v>
      </c>
      <c r="M81" s="197" t="str">
        <f t="shared" si="66"/>
        <v>A</v>
      </c>
      <c r="N81" s="198">
        <v>666477.43999999994</v>
      </c>
      <c r="O81" s="198">
        <v>0</v>
      </c>
      <c r="P81" s="199"/>
      <c r="Q81" s="199"/>
      <c r="R81" s="198"/>
      <c r="S81" s="198"/>
      <c r="T81" s="197" t="s">
        <v>48</v>
      </c>
      <c r="U81" s="198">
        <v>666477.43999999994</v>
      </c>
      <c r="V81" s="198">
        <v>0</v>
      </c>
      <c r="W81" s="25" t="str">
        <f t="shared" si="67"/>
        <v>-</v>
      </c>
    </row>
    <row r="82" spans="1:23" x14ac:dyDescent="0.2">
      <c r="A82" s="203" t="s">
        <v>88</v>
      </c>
      <c r="B82" s="203"/>
      <c r="C82" s="203"/>
      <c r="D82" s="203" t="s">
        <v>23</v>
      </c>
      <c r="E82" s="203" t="s">
        <v>117</v>
      </c>
      <c r="F82" s="203" t="s">
        <v>90</v>
      </c>
      <c r="G82" s="204" t="s">
        <v>119</v>
      </c>
      <c r="H82" s="203" t="s">
        <v>39</v>
      </c>
      <c r="I82" s="205">
        <v>44620</v>
      </c>
      <c r="J82" s="205">
        <v>46444</v>
      </c>
      <c r="K82" s="206">
        <f t="shared" ref="K82" si="68">YEAR(J82)</f>
        <v>2027</v>
      </c>
      <c r="L82" s="207">
        <v>9703652</v>
      </c>
      <c r="M82" s="208" t="str">
        <f t="shared" ref="M82:M89" si="69">+IF(N82&lt;0,"P","A")</f>
        <v>A</v>
      </c>
      <c r="N82" s="209">
        <v>376990.16</v>
      </c>
      <c r="O82" s="209">
        <v>0</v>
      </c>
      <c r="P82" s="199"/>
      <c r="Q82" s="199"/>
      <c r="R82" s="209"/>
      <c r="S82" s="209"/>
      <c r="T82" s="208" t="s">
        <v>48</v>
      </c>
      <c r="U82" s="209">
        <v>376990.16</v>
      </c>
      <c r="V82" s="209">
        <v>0</v>
      </c>
      <c r="W82" s="25" t="str">
        <f t="shared" ref="W82" si="70">IF(OR(AND(N82&gt;0,U82&gt;0),AND(N82&lt;0,U82&lt;0)),"-","CHGT SENS")</f>
        <v>-</v>
      </c>
    </row>
    <row r="83" spans="1:23" s="1" customFormat="1" x14ac:dyDescent="0.2">
      <c r="A83" s="171" t="s">
        <v>88</v>
      </c>
      <c r="B83" s="171"/>
      <c r="C83" s="171"/>
      <c r="D83" s="171" t="s">
        <v>23</v>
      </c>
      <c r="E83" s="171" t="s">
        <v>149</v>
      </c>
      <c r="F83" s="166" t="s">
        <v>146</v>
      </c>
      <c r="G83" s="172" t="s">
        <v>158</v>
      </c>
      <c r="H83" s="171" t="s">
        <v>39</v>
      </c>
      <c r="I83" s="173">
        <v>45674</v>
      </c>
      <c r="J83" s="173">
        <v>46413</v>
      </c>
      <c r="K83" s="161">
        <f t="shared" ref="K83:K89" si="71">YEAR(J83)</f>
        <v>2027</v>
      </c>
      <c r="L83" s="165">
        <v>3800000</v>
      </c>
      <c r="M83" s="162" t="str">
        <f t="shared" ref="M83:M84" si="72">+IF(N83&lt;0,"P","A")</f>
        <v>A</v>
      </c>
      <c r="N83" s="163"/>
      <c r="O83" s="163"/>
      <c r="P83" s="184">
        <f>+U83-N83</f>
        <v>-25658.070000000007</v>
      </c>
      <c r="Q83" s="163"/>
      <c r="R83" s="162"/>
      <c r="S83" s="162"/>
      <c r="T83" s="162" t="str">
        <f t="shared" ref="T83:T84" si="73">+IF(U83&lt;0,"P","A")</f>
        <v>P</v>
      </c>
      <c r="U83" s="163">
        <f>273174.94-298833.01</f>
        <v>-25658.070000000007</v>
      </c>
      <c r="V83" s="175">
        <v>3762438</v>
      </c>
      <c r="W83" s="25"/>
    </row>
    <row r="84" spans="1:23" x14ac:dyDescent="0.2">
      <c r="A84" s="171" t="s">
        <v>88</v>
      </c>
      <c r="B84" s="31"/>
      <c r="C84" s="31"/>
      <c r="D84" s="171" t="s">
        <v>23</v>
      </c>
      <c r="E84" s="192" t="s">
        <v>149</v>
      </c>
      <c r="F84" s="185" t="s">
        <v>147</v>
      </c>
      <c r="G84" s="186"/>
      <c r="H84" s="171" t="s">
        <v>39</v>
      </c>
      <c r="I84" s="187">
        <v>45674</v>
      </c>
      <c r="J84" s="187">
        <v>46413</v>
      </c>
      <c r="K84" s="188">
        <f t="shared" si="71"/>
        <v>2027</v>
      </c>
      <c r="L84" s="189">
        <v>1900000</v>
      </c>
      <c r="M84" s="190" t="str">
        <f t="shared" si="72"/>
        <v>A</v>
      </c>
      <c r="N84" s="163"/>
      <c r="O84" s="163"/>
      <c r="P84" s="184">
        <f t="shared" ref="P84:P89" si="74">+U84-N84</f>
        <v>-15406</v>
      </c>
      <c r="Q84" s="163"/>
      <c r="R84" s="184"/>
      <c r="S84" s="184"/>
      <c r="T84" s="175" t="str">
        <f t="shared" si="73"/>
        <v>P</v>
      </c>
      <c r="U84" s="184">
        <v>-15406</v>
      </c>
      <c r="V84" s="184"/>
      <c r="W84" s="25"/>
    </row>
    <row r="85" spans="1:23" s="1" customFormat="1" x14ac:dyDescent="0.2">
      <c r="A85" s="171" t="s">
        <v>88</v>
      </c>
      <c r="B85" s="171"/>
      <c r="C85" s="171"/>
      <c r="D85" s="171" t="s">
        <v>23</v>
      </c>
      <c r="E85" s="171" t="s">
        <v>149</v>
      </c>
      <c r="F85" s="166" t="s">
        <v>146</v>
      </c>
      <c r="G85" s="172" t="s">
        <v>148</v>
      </c>
      <c r="H85" s="171" t="s">
        <v>39</v>
      </c>
      <c r="I85" s="173">
        <v>45517</v>
      </c>
      <c r="J85" s="173">
        <v>47325</v>
      </c>
      <c r="K85" s="161">
        <f t="shared" si="71"/>
        <v>2029</v>
      </c>
      <c r="L85" s="165">
        <v>29737478</v>
      </c>
      <c r="M85" s="162" t="str">
        <f t="shared" si="69"/>
        <v>A</v>
      </c>
      <c r="N85" s="163">
        <v>253393</v>
      </c>
      <c r="O85" s="163">
        <v>29737478</v>
      </c>
      <c r="P85" s="184">
        <f t="shared" si="74"/>
        <v>-179145.49000000022</v>
      </c>
      <c r="Q85" s="163"/>
      <c r="R85" s="162"/>
      <c r="S85" s="162"/>
      <c r="T85" s="162" t="str">
        <f t="shared" ref="T85:T88" si="75">+IF(U85&lt;0,"P","A")</f>
        <v>A</v>
      </c>
      <c r="U85" s="163">
        <f>5270340.25-5196092.74</f>
        <v>74247.509999999776</v>
      </c>
      <c r="V85" s="175">
        <v>29415491</v>
      </c>
      <c r="W85" s="25"/>
    </row>
    <row r="86" spans="1:23" x14ac:dyDescent="0.2">
      <c r="A86" s="171" t="s">
        <v>88</v>
      </c>
      <c r="B86" s="31"/>
      <c r="C86" s="31"/>
      <c r="D86" s="171" t="s">
        <v>23</v>
      </c>
      <c r="E86" s="192" t="s">
        <v>149</v>
      </c>
      <c r="F86" s="185" t="s">
        <v>147</v>
      </c>
      <c r="G86" s="186">
        <v>35370845</v>
      </c>
      <c r="H86" s="171" t="s">
        <v>39</v>
      </c>
      <c r="I86" s="187">
        <v>45524</v>
      </c>
      <c r="J86" s="187">
        <v>46594</v>
      </c>
      <c r="K86" s="188">
        <f t="shared" si="71"/>
        <v>2027</v>
      </c>
      <c r="L86" s="189">
        <v>15000000</v>
      </c>
      <c r="M86" s="190" t="str">
        <f t="shared" si="69"/>
        <v>P</v>
      </c>
      <c r="N86" s="163">
        <v>-157143</v>
      </c>
      <c r="O86" s="163">
        <v>14904908</v>
      </c>
      <c r="P86" s="184">
        <f t="shared" si="74"/>
        <v>-39807.859999999986</v>
      </c>
      <c r="Q86" s="163"/>
      <c r="R86" s="184"/>
      <c r="S86" s="184"/>
      <c r="T86" s="175" t="str">
        <f t="shared" si="75"/>
        <v>P</v>
      </c>
      <c r="U86" s="184">
        <v>-196950.86</v>
      </c>
      <c r="V86" s="184"/>
      <c r="W86" s="25"/>
    </row>
    <row r="87" spans="1:23" x14ac:dyDescent="0.2">
      <c r="A87" s="171" t="s">
        <v>88</v>
      </c>
      <c r="B87" s="31"/>
      <c r="C87" s="31"/>
      <c r="D87" s="171" t="s">
        <v>23</v>
      </c>
      <c r="E87" s="192" t="s">
        <v>149</v>
      </c>
      <c r="F87" s="185" t="s">
        <v>90</v>
      </c>
      <c r="G87" s="186">
        <v>114518282</v>
      </c>
      <c r="H87" s="171" t="s">
        <v>39</v>
      </c>
      <c r="I87" s="187">
        <v>45499</v>
      </c>
      <c r="J87" s="187">
        <v>47325</v>
      </c>
      <c r="K87" s="188">
        <f t="shared" si="71"/>
        <v>2029</v>
      </c>
      <c r="L87" s="189">
        <v>45000000</v>
      </c>
      <c r="M87" s="190" t="str">
        <f t="shared" si="69"/>
        <v>P</v>
      </c>
      <c r="N87" s="163">
        <v>-167713.92000000001</v>
      </c>
      <c r="O87" s="163">
        <v>44635366</v>
      </c>
      <c r="P87" s="184">
        <f t="shared" si="74"/>
        <v>-230211.38999999998</v>
      </c>
      <c r="Q87" s="163"/>
      <c r="R87" s="184"/>
      <c r="S87" s="184"/>
      <c r="T87" s="191" t="str">
        <f t="shared" si="75"/>
        <v>P</v>
      </c>
      <c r="U87" s="184">
        <v>-397925.31</v>
      </c>
      <c r="V87" s="184"/>
      <c r="W87" s="25"/>
    </row>
    <row r="88" spans="1:23" x14ac:dyDescent="0.2">
      <c r="A88" s="171" t="s">
        <v>88</v>
      </c>
      <c r="B88" s="31"/>
      <c r="C88" s="31"/>
      <c r="D88" s="171" t="s">
        <v>23</v>
      </c>
      <c r="E88" s="192" t="s">
        <v>149</v>
      </c>
      <c r="F88" s="185" t="s">
        <v>90</v>
      </c>
      <c r="G88" s="186">
        <v>114518541</v>
      </c>
      <c r="H88" s="171" t="s">
        <v>39</v>
      </c>
      <c r="I88" s="187">
        <v>45499</v>
      </c>
      <c r="J88" s="187">
        <v>49151</v>
      </c>
      <c r="K88" s="188">
        <f t="shared" si="71"/>
        <v>2034</v>
      </c>
      <c r="L88" s="189">
        <v>30000000</v>
      </c>
      <c r="M88" s="190" t="str">
        <f t="shared" si="69"/>
        <v>A</v>
      </c>
      <c r="N88" s="163">
        <v>109474.27</v>
      </c>
      <c r="O88" s="163">
        <v>30000000</v>
      </c>
      <c r="P88" s="184">
        <f t="shared" si="74"/>
        <v>-55604.91</v>
      </c>
      <c r="Q88" s="163"/>
      <c r="R88" s="184"/>
      <c r="S88" s="184"/>
      <c r="T88" s="191" t="str">
        <f t="shared" si="75"/>
        <v>A</v>
      </c>
      <c r="U88" s="184">
        <v>53869.36</v>
      </c>
      <c r="V88" s="184"/>
      <c r="W88" s="25"/>
    </row>
    <row r="89" spans="1:23" ht="12.75" thickBot="1" x14ac:dyDescent="0.25">
      <c r="A89" s="185" t="s">
        <v>88</v>
      </c>
      <c r="B89" s="185"/>
      <c r="C89" s="185"/>
      <c r="D89" s="185" t="s">
        <v>23</v>
      </c>
      <c r="E89" s="192" t="s">
        <v>149</v>
      </c>
      <c r="F89" s="185" t="s">
        <v>90</v>
      </c>
      <c r="G89" s="186">
        <v>122059500</v>
      </c>
      <c r="H89" s="185" t="s">
        <v>39</v>
      </c>
      <c r="I89" s="187">
        <v>45644</v>
      </c>
      <c r="J89" s="187">
        <v>46385</v>
      </c>
      <c r="K89" s="188">
        <f t="shared" si="71"/>
        <v>2026</v>
      </c>
      <c r="L89" s="189">
        <v>5700000</v>
      </c>
      <c r="M89" s="190" t="str">
        <f t="shared" si="69"/>
        <v>P</v>
      </c>
      <c r="N89" s="184">
        <v>-18973.32</v>
      </c>
      <c r="O89" s="184">
        <v>5700000</v>
      </c>
      <c r="P89" s="184">
        <f t="shared" si="74"/>
        <v>-19035.03</v>
      </c>
      <c r="Q89" s="184"/>
      <c r="R89" s="184"/>
      <c r="S89" s="184"/>
      <c r="T89" s="191" t="str">
        <f t="shared" ref="T89" si="76">+IF(U89&lt;0,"P","A")</f>
        <v>P</v>
      </c>
      <c r="U89" s="184">
        <v>-38008.35</v>
      </c>
      <c r="V89" s="184"/>
      <c r="W89" s="25"/>
    </row>
    <row r="90" spans="1:23" ht="12.75" thickTop="1" x14ac:dyDescent="0.2">
      <c r="A90" s="106" t="s">
        <v>95</v>
      </c>
      <c r="B90" s="106"/>
      <c r="C90" s="106"/>
      <c r="D90" s="106"/>
      <c r="E90" s="106" t="s">
        <v>96</v>
      </c>
      <c r="F90" s="95"/>
      <c r="G90" s="95"/>
      <c r="H90" s="95"/>
      <c r="I90" s="96"/>
      <c r="J90" s="96"/>
      <c r="K90" s="96"/>
      <c r="L90" s="97"/>
      <c r="M90" s="94"/>
      <c r="N90" s="94">
        <f t="shared" ref="N90:S90" si="77">SUM(N71:N89)</f>
        <v>3060547.14</v>
      </c>
      <c r="O90" s="94">
        <f t="shared" si="77"/>
        <v>124977752</v>
      </c>
      <c r="P90" s="94">
        <f t="shared" si="77"/>
        <v>-564868.75000000023</v>
      </c>
      <c r="Q90" s="94">
        <f t="shared" si="77"/>
        <v>0</v>
      </c>
      <c r="R90" s="94">
        <f t="shared" si="77"/>
        <v>0</v>
      </c>
      <c r="S90" s="94">
        <f t="shared" si="77"/>
        <v>0</v>
      </c>
      <c r="T90" s="94"/>
      <c r="U90" s="94">
        <f>SUM(U71:U89)</f>
        <v>2495678.3899999997</v>
      </c>
      <c r="V90" s="94">
        <f>SUM(V71:V89)</f>
        <v>33177929</v>
      </c>
      <c r="W90" s="25"/>
    </row>
    <row r="91" spans="1:23" s="1" customFormat="1" x14ac:dyDescent="0.2">
      <c r="A91" s="107" t="s">
        <v>88</v>
      </c>
      <c r="B91" s="107" t="str">
        <f>CONCATENATE(A91," - EMP")</f>
        <v>S2500 - EMP</v>
      </c>
      <c r="C91" s="107" t="s">
        <v>150</v>
      </c>
      <c r="D91" s="107" t="s">
        <v>151</v>
      </c>
      <c r="E91" s="107" t="s">
        <v>97</v>
      </c>
      <c r="F91" s="98"/>
      <c r="G91" s="99"/>
      <c r="H91" s="99"/>
      <c r="I91" s="100"/>
      <c r="J91" s="100"/>
      <c r="K91" s="100"/>
      <c r="L91" s="101"/>
      <c r="M91" s="103"/>
      <c r="N91" s="102">
        <f>+N90/'Tx de change'!B4</f>
        <v>2047462.6304522345</v>
      </c>
      <c r="O91" s="102">
        <f>+O90/'Tx de change'!B4</f>
        <v>83608343.591115877</v>
      </c>
      <c r="P91" s="102">
        <f>+P90/'Tx de change'!B3</f>
        <v>-366789.31531470717</v>
      </c>
      <c r="Q91" s="102">
        <f>+Q90/'Tx de change'!B3</f>
        <v>0</v>
      </c>
      <c r="R91" s="103"/>
      <c r="S91" s="102">
        <f>+U91-SUM(N91,P91:R91)</f>
        <v>-123502.04790098919</v>
      </c>
      <c r="T91" s="103"/>
      <c r="U91" s="102">
        <f>+U90/'Tx de change'!B2</f>
        <v>1557171.2672365382</v>
      </c>
      <c r="V91" s="102">
        <f>+V90/'Tx de change'!B2</f>
        <v>20701272.228115056</v>
      </c>
      <c r="W91" s="104"/>
    </row>
    <row r="92" spans="1:23" x14ac:dyDescent="0.2">
      <c r="A92" s="9"/>
      <c r="B92" s="9"/>
      <c r="C92" s="9"/>
      <c r="D92" s="9"/>
      <c r="E92" s="9"/>
      <c r="F92" s="9"/>
      <c r="G92" s="43"/>
      <c r="H92" s="9"/>
      <c r="I92" s="44"/>
      <c r="J92" s="44"/>
      <c r="K92" s="44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12"/>
    </row>
    <row r="93" spans="1:23" x14ac:dyDescent="0.2">
      <c r="A93" s="9"/>
      <c r="B93" s="9"/>
      <c r="C93" s="9"/>
      <c r="D93" s="9"/>
      <c r="E93" s="9"/>
      <c r="F93" s="9"/>
      <c r="G93" s="43"/>
      <c r="H93" s="9"/>
      <c r="I93" s="44"/>
      <c r="J93" s="44"/>
      <c r="K93" s="44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12"/>
    </row>
    <row r="94" spans="1:23" ht="12.75" thickBot="1" x14ac:dyDescent="0.25">
      <c r="A94" s="9"/>
      <c r="B94" s="9"/>
      <c r="C94" s="9"/>
      <c r="D94" s="9"/>
      <c r="E94" s="9"/>
      <c r="F94" s="9"/>
      <c r="G94" s="43"/>
      <c r="H94" s="9"/>
      <c r="I94" s="44"/>
      <c r="J94" s="44"/>
      <c r="K94" s="44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12"/>
    </row>
    <row r="95" spans="1:23" x14ac:dyDescent="0.2">
      <c r="A95" s="42"/>
      <c r="B95" s="42"/>
      <c r="C95" s="42"/>
      <c r="D95" s="42"/>
      <c r="E95" s="227" t="s">
        <v>98</v>
      </c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9"/>
      <c r="W95" s="46"/>
    </row>
    <row r="96" spans="1:23" ht="24" x14ac:dyDescent="0.2">
      <c r="A96" s="81"/>
      <c r="B96" s="81"/>
      <c r="C96" s="81"/>
      <c r="D96" s="81"/>
      <c r="E96" s="4"/>
      <c r="F96" s="81"/>
      <c r="G96" s="81"/>
      <c r="H96" s="81"/>
      <c r="I96" s="81"/>
      <c r="J96" s="81"/>
      <c r="K96" s="81"/>
      <c r="L96" s="109"/>
      <c r="M96" s="53"/>
      <c r="N96" s="53" t="str">
        <f>+N7</f>
        <v>VALO
31/12/2024</v>
      </c>
      <c r="O96" s="110" t="str">
        <f>+O7</f>
        <v>NOMINAL RESIDUEL
31/12/2024</v>
      </c>
      <c r="P96" s="53" t="s">
        <v>18</v>
      </c>
      <c r="Q96" s="53" t="s">
        <v>19</v>
      </c>
      <c r="R96" s="53" t="s">
        <v>20</v>
      </c>
      <c r="S96" s="53" t="s">
        <v>21</v>
      </c>
      <c r="T96" s="53"/>
      <c r="U96" s="53" t="str">
        <f>+U7</f>
        <v>VALO
30/06/2025</v>
      </c>
      <c r="V96" s="110" t="str">
        <f>+V7</f>
        <v>NOMINAL RESIDUEL
30/06/2025</v>
      </c>
      <c r="W96" s="12"/>
    </row>
    <row r="97" spans="1:23" x14ac:dyDescent="0.2">
      <c r="A97" s="78"/>
      <c r="B97" s="78"/>
      <c r="C97" s="78"/>
      <c r="D97" s="78"/>
      <c r="E97" s="54" t="s">
        <v>99</v>
      </c>
      <c r="F97" s="9"/>
      <c r="G97" s="9"/>
      <c r="H97" s="9"/>
      <c r="I97" s="9"/>
      <c r="J97" s="9"/>
      <c r="K97" s="9"/>
      <c r="L97" s="11"/>
      <c r="M97" s="45" t="s">
        <v>48</v>
      </c>
      <c r="N97" s="45">
        <f>+SUMIF(M$9:M$64,M97,N$9:N$64)</f>
        <v>1400261.0299999998</v>
      </c>
      <c r="O97" s="55">
        <f>+SUMIF(M$9:M$64,M97,O$9:O$64)</f>
        <v>134158574.59</v>
      </c>
      <c r="P97" s="45">
        <f>+SUMIF($T$9:$T$64,$T$97,P$9:P$64)</f>
        <v>0</v>
      </c>
      <c r="Q97" s="45">
        <f>+SUMIF($T$9:$T$64,$T$97,Q$9:Q$64)</f>
        <v>-643428.80000000016</v>
      </c>
      <c r="R97" s="45">
        <f>+SUMIF($T$9:$T$64,$T$97,R$9:R$64)</f>
        <v>0</v>
      </c>
      <c r="S97" s="45">
        <f>+SUMIF($T$9:$T$64,$T$97,S$9:S$64)</f>
        <v>0</v>
      </c>
      <c r="T97" s="45" t="s">
        <v>48</v>
      </c>
      <c r="U97" s="45">
        <f>+SUMIF($T$9:$T$64,$T$97,U$9:U$64)</f>
        <v>679428.78</v>
      </c>
      <c r="V97" s="55">
        <f>+SUMIF($T$9:$T$64,$T$97,V$9:V$64)</f>
        <v>138815805.12</v>
      </c>
      <c r="W97" s="12"/>
    </row>
    <row r="98" spans="1:23" s="3" customFormat="1" x14ac:dyDescent="0.2">
      <c r="A98" s="79"/>
      <c r="B98" s="79"/>
      <c r="C98" s="79"/>
      <c r="D98" s="79"/>
      <c r="E98" s="48" t="s">
        <v>100</v>
      </c>
      <c r="F98" s="47"/>
      <c r="G98" s="47"/>
      <c r="H98" s="47" t="s">
        <v>39</v>
      </c>
      <c r="I98" s="47"/>
      <c r="J98" s="47"/>
      <c r="K98" s="47"/>
      <c r="L98" s="108"/>
      <c r="M98" s="49"/>
      <c r="N98" s="49">
        <f>SUMIFS(N$9:N$64,$M$9:$M$64,$M$97,$H$9:$H$64,$H98)</f>
        <v>645077.23</v>
      </c>
      <c r="O98" s="51">
        <f>SUMIFS(O$9:O$64,$M$9:$M$64,$M$97,$H$9:$H$64,$H98)</f>
        <v>60522750.590000004</v>
      </c>
      <c r="P98" s="49">
        <f t="shared" ref="P98:S100" si="78">SUMIFS(P$9:P$64,$T$9:$T$64,$T$97,$H$9:$H$64,$H98)</f>
        <v>0</v>
      </c>
      <c r="Q98" s="49">
        <f t="shared" si="78"/>
        <v>-315994.59000000003</v>
      </c>
      <c r="R98" s="49">
        <f t="shared" si="78"/>
        <v>0</v>
      </c>
      <c r="S98" s="49">
        <f t="shared" si="78"/>
        <v>0</v>
      </c>
      <c r="T98" s="49"/>
      <c r="U98" s="49">
        <f t="shared" ref="U98:V100" si="79">SUMIFS(U$9:U$64,$T$9:$T$64,$T$97,$H$9:$H$64,$H98)</f>
        <v>329082.64</v>
      </c>
      <c r="V98" s="51">
        <f t="shared" si="79"/>
        <v>66529505.119999997</v>
      </c>
      <c r="W98" s="12"/>
    </row>
    <row r="99" spans="1:23" s="3" customFormat="1" x14ac:dyDescent="0.2">
      <c r="A99" s="79"/>
      <c r="B99" s="79"/>
      <c r="C99" s="79"/>
      <c r="D99" s="79"/>
      <c r="E99" s="48" t="s">
        <v>120</v>
      </c>
      <c r="F99" s="47"/>
      <c r="G99" s="47"/>
      <c r="H99" s="47" t="s">
        <v>34</v>
      </c>
      <c r="I99" s="47"/>
      <c r="J99" s="47"/>
      <c r="K99" s="47"/>
      <c r="L99" s="108"/>
      <c r="M99" s="49"/>
      <c r="N99" s="49">
        <f>SUMIFS(N$9:N$64,$M$9:$M$64,$M$107,$H$9:$H$64,$H99)</f>
        <v>0</v>
      </c>
      <c r="O99" s="51">
        <f>SUMIFS(O$9:O$64,$M$9:$M$64,$M$97,$H$9:$H$64,$H99)</f>
        <v>0</v>
      </c>
      <c r="P99" s="49">
        <f t="shared" si="78"/>
        <v>0</v>
      </c>
      <c r="Q99" s="49">
        <f t="shared" si="78"/>
        <v>0</v>
      </c>
      <c r="R99" s="49">
        <f t="shared" si="78"/>
        <v>0</v>
      </c>
      <c r="S99" s="49">
        <f t="shared" si="78"/>
        <v>0</v>
      </c>
      <c r="T99" s="49"/>
      <c r="U99" s="49">
        <f t="shared" si="79"/>
        <v>0</v>
      </c>
      <c r="V99" s="51">
        <f t="shared" si="79"/>
        <v>0</v>
      </c>
      <c r="W99" s="12"/>
    </row>
    <row r="100" spans="1:23" s="3" customFormat="1" x14ac:dyDescent="0.2">
      <c r="A100" s="79"/>
      <c r="B100" s="79"/>
      <c r="C100" s="79"/>
      <c r="D100" s="79"/>
      <c r="E100" s="48" t="s">
        <v>101</v>
      </c>
      <c r="F100" s="47"/>
      <c r="G100" s="47"/>
      <c r="H100" s="47" t="s">
        <v>26</v>
      </c>
      <c r="I100" s="47"/>
      <c r="J100" s="47"/>
      <c r="K100" s="47"/>
      <c r="L100" s="108"/>
      <c r="M100" s="49"/>
      <c r="N100" s="49">
        <f>SUMIFS(N$9:N$64,$M$9:$M$64,$M$97,$H$9:$H$64,$H100)</f>
        <v>755183.79999999993</v>
      </c>
      <c r="O100" s="51">
        <f>SUMIFS(O$9:O$64,$M$9:$M$64,$M$97,$H$9:$H$64,$H100)</f>
        <v>73635824</v>
      </c>
      <c r="P100" s="49">
        <f t="shared" si="78"/>
        <v>0</v>
      </c>
      <c r="Q100" s="49">
        <f t="shared" si="78"/>
        <v>-327434.21000000002</v>
      </c>
      <c r="R100" s="49">
        <f t="shared" si="78"/>
        <v>0</v>
      </c>
      <c r="S100" s="49">
        <f t="shared" si="78"/>
        <v>0</v>
      </c>
      <c r="T100" s="49"/>
      <c r="U100" s="49">
        <f t="shared" si="79"/>
        <v>350346.13999999996</v>
      </c>
      <c r="V100" s="51">
        <f t="shared" si="79"/>
        <v>72286300</v>
      </c>
      <c r="W100" s="12"/>
    </row>
    <row r="101" spans="1:23" x14ac:dyDescent="0.2">
      <c r="A101" s="9"/>
      <c r="B101" s="9"/>
      <c r="C101" s="9"/>
      <c r="D101" s="9"/>
      <c r="E101" s="56" t="s">
        <v>102</v>
      </c>
      <c r="F101" s="9"/>
      <c r="G101" s="9"/>
      <c r="H101" s="9"/>
      <c r="I101" s="9"/>
      <c r="J101" s="9"/>
      <c r="K101" s="9"/>
      <c r="L101" s="11"/>
      <c r="M101" s="45" t="s">
        <v>103</v>
      </c>
      <c r="N101" s="45">
        <f>+SUMIF(M$9:M$64,$M$101,N$9:N$64)</f>
        <v>-3755716.5500000003</v>
      </c>
      <c r="O101" s="55">
        <f>+SUMIF(M$9:M$64,M101,O$9:O$64)</f>
        <v>159587667</v>
      </c>
      <c r="P101" s="45">
        <f>+SUMIF($T$9:$T$64,$T$101,P$9:P$64)</f>
        <v>0</v>
      </c>
      <c r="Q101" s="45">
        <f>+SUMIF($T$9:$T$64,$T$101,Q$9:Q$64)</f>
        <v>173369.86000000004</v>
      </c>
      <c r="R101" s="45">
        <f>+SUMIF($T$9:$T$64,$T$101,R$9:R$64)</f>
        <v>0</v>
      </c>
      <c r="S101" s="45">
        <f>+SUMIF($T$9:$T$64,$T$101,S$9:S$64)</f>
        <v>0</v>
      </c>
      <c r="T101" s="45" t="s">
        <v>103</v>
      </c>
      <c r="U101" s="45">
        <f>+SUMIF($T$9:$T$64,$T$101,U$9:U$64)</f>
        <v>-3504943.2399999998</v>
      </c>
      <c r="V101" s="55">
        <f>+SUMIF($T$9:$T$64,$T$101,V$9:V$64)</f>
        <v>171379000</v>
      </c>
      <c r="W101" s="12"/>
    </row>
    <row r="102" spans="1:23" s="3" customFormat="1" x14ac:dyDescent="0.2">
      <c r="A102" s="79"/>
      <c r="B102" s="79"/>
      <c r="C102" s="79"/>
      <c r="D102" s="79"/>
      <c r="E102" s="48" t="s">
        <v>100</v>
      </c>
      <c r="F102" s="47"/>
      <c r="G102" s="47"/>
      <c r="H102" s="47" t="s">
        <v>39</v>
      </c>
      <c r="I102" s="47"/>
      <c r="J102" s="47"/>
      <c r="K102" s="47"/>
      <c r="L102" s="108"/>
      <c r="M102" s="49"/>
      <c r="N102" s="49">
        <f>SUMIFS(N$9:N$64,$M$9:$M$64,$M$101,$H$9:$H$64,$H102)</f>
        <v>-1760225.9000000001</v>
      </c>
      <c r="O102" s="51">
        <f>SUMIFS(O$9:O$64,$M$9:$M$64,$M$101,$H$9:$H$64,$H102)</f>
        <v>47881647</v>
      </c>
      <c r="P102" s="49">
        <f t="shared" ref="P102:S104" si="80">SUMIFS(P$9:P$64,$T$9:$T$64,$T$101,$H$9:$H$64,$H102)</f>
        <v>0</v>
      </c>
      <c r="Q102" s="49">
        <f t="shared" si="80"/>
        <v>20496.880000000077</v>
      </c>
      <c r="R102" s="49">
        <f t="shared" si="80"/>
        <v>0</v>
      </c>
      <c r="S102" s="49">
        <f t="shared" si="80"/>
        <v>0</v>
      </c>
      <c r="T102" s="49"/>
      <c r="U102" s="49">
        <f t="shared" ref="U102:V104" si="81">SUMIFS(U$9:U$64,$T$9:$T$64,$T$101,$H$9:$H$64,$H102)</f>
        <v>-1739729.02</v>
      </c>
      <c r="V102" s="51">
        <f t="shared" si="81"/>
        <v>57074180</v>
      </c>
      <c r="W102" s="12"/>
    </row>
    <row r="103" spans="1:23" s="3" customFormat="1" x14ac:dyDescent="0.2">
      <c r="A103" s="79"/>
      <c r="B103" s="79"/>
      <c r="C103" s="79"/>
      <c r="D103" s="79"/>
      <c r="E103" s="48" t="s">
        <v>120</v>
      </c>
      <c r="F103" s="47"/>
      <c r="G103" s="47"/>
      <c r="H103" s="47" t="s">
        <v>34</v>
      </c>
      <c r="I103" s="47"/>
      <c r="J103" s="47"/>
      <c r="K103" s="47"/>
      <c r="L103" s="108"/>
      <c r="M103" s="49"/>
      <c r="N103" s="49">
        <f>SUMIFS(N$9:N$64,$M$9:$M$64,$M$101,$H$9:$H$64,$H103)</f>
        <v>-1106381.19</v>
      </c>
      <c r="O103" s="51">
        <f>SUMIFS(O$9:O$64,$M$9:$M$64,$M$107,$H$9:$H$64,$H103)</f>
        <v>0</v>
      </c>
      <c r="P103" s="49">
        <f t="shared" si="80"/>
        <v>0</v>
      </c>
      <c r="Q103" s="49">
        <f t="shared" si="80"/>
        <v>110353.74000000002</v>
      </c>
      <c r="R103" s="49">
        <f t="shared" si="80"/>
        <v>0</v>
      </c>
      <c r="S103" s="49">
        <f t="shared" si="80"/>
        <v>0</v>
      </c>
      <c r="T103" s="49"/>
      <c r="U103" s="49">
        <f t="shared" si="81"/>
        <v>-996027.45</v>
      </c>
      <c r="V103" s="51">
        <f t="shared" si="81"/>
        <v>41437520</v>
      </c>
      <c r="W103" s="12"/>
    </row>
    <row r="104" spans="1:23" s="3" customFormat="1" ht="12.75" thickBot="1" x14ac:dyDescent="0.25">
      <c r="A104" s="79"/>
      <c r="B104" s="79"/>
      <c r="C104" s="79"/>
      <c r="D104" s="79"/>
      <c r="E104" s="48" t="s">
        <v>101</v>
      </c>
      <c r="F104" s="47"/>
      <c r="G104" s="47"/>
      <c r="H104" s="50" t="s">
        <v>26</v>
      </c>
      <c r="I104" s="47"/>
      <c r="J104" s="47"/>
      <c r="K104" s="47"/>
      <c r="L104" s="108"/>
      <c r="M104" s="49"/>
      <c r="N104" s="49">
        <f>SUMIFS(N$9:N$64,$M$9:$M$64,$M$101,$H$9:$H$64,$H104)</f>
        <v>-889109.46</v>
      </c>
      <c r="O104" s="57">
        <f>SUMIFS(O$9:O$64,$M$9:$M$64,$M$101,$H$9:$H$64,$H104)</f>
        <v>72068500</v>
      </c>
      <c r="P104" s="49">
        <f t="shared" si="80"/>
        <v>0</v>
      </c>
      <c r="Q104" s="49">
        <f t="shared" si="80"/>
        <v>42519.24</v>
      </c>
      <c r="R104" s="49">
        <f t="shared" si="80"/>
        <v>0</v>
      </c>
      <c r="S104" s="49">
        <f t="shared" si="80"/>
        <v>0</v>
      </c>
      <c r="T104" s="49"/>
      <c r="U104" s="49">
        <f t="shared" si="81"/>
        <v>-769186.77</v>
      </c>
      <c r="V104" s="57">
        <f t="shared" si="81"/>
        <v>72867300</v>
      </c>
      <c r="W104" s="12"/>
    </row>
    <row r="105" spans="1:23" ht="12.75" thickBot="1" x14ac:dyDescent="0.25">
      <c r="A105" s="10"/>
      <c r="B105" s="10"/>
      <c r="C105" s="10"/>
      <c r="D105" s="10"/>
      <c r="E105" s="58" t="s">
        <v>104</v>
      </c>
      <c r="F105" s="59"/>
      <c r="G105" s="59"/>
      <c r="H105" s="59"/>
      <c r="I105" s="59"/>
      <c r="J105" s="59"/>
      <c r="K105" s="59"/>
      <c r="L105" s="60"/>
      <c r="M105" s="61"/>
      <c r="N105" s="61">
        <f>+N97+N101</f>
        <v>-2355455.5200000005</v>
      </c>
      <c r="O105" s="62">
        <f>+O97+O101</f>
        <v>293746241.59000003</v>
      </c>
      <c r="P105" s="61">
        <f t="shared" ref="P105:S105" si="82">+P97+P101</f>
        <v>0</v>
      </c>
      <c r="Q105" s="61">
        <f t="shared" si="82"/>
        <v>-470058.94000000012</v>
      </c>
      <c r="R105" s="61">
        <f t="shared" si="82"/>
        <v>0</v>
      </c>
      <c r="S105" s="61">
        <f t="shared" si="82"/>
        <v>0</v>
      </c>
      <c r="T105" s="61"/>
      <c r="U105" s="61">
        <f t="shared" ref="U105:V105" si="83">+U97+U101</f>
        <v>-2825514.46</v>
      </c>
      <c r="V105" s="62">
        <f t="shared" si="83"/>
        <v>310194805.12</v>
      </c>
      <c r="W105" s="12"/>
    </row>
    <row r="106" spans="1:23" s="1" customFormat="1" x14ac:dyDescent="0.2">
      <c r="A106" s="105"/>
      <c r="B106" s="105"/>
      <c r="C106" s="105"/>
      <c r="D106" s="105"/>
      <c r="E106" s="113"/>
      <c r="F106" s="105"/>
      <c r="G106" s="105"/>
      <c r="H106" s="105"/>
      <c r="I106" s="105"/>
      <c r="J106" s="105"/>
      <c r="K106" s="105"/>
      <c r="L106" s="114"/>
      <c r="M106" s="114"/>
      <c r="N106" s="115">
        <f t="shared" ref="N106:V106" si="84">+N105-N65</f>
        <v>0</v>
      </c>
      <c r="O106" s="121">
        <f t="shared" si="84"/>
        <v>0</v>
      </c>
      <c r="P106" s="115">
        <f t="shared" si="84"/>
        <v>0</v>
      </c>
      <c r="Q106" s="115">
        <f t="shared" si="84"/>
        <v>0</v>
      </c>
      <c r="R106" s="115">
        <f t="shared" si="84"/>
        <v>0</v>
      </c>
      <c r="S106" s="115">
        <f t="shared" si="84"/>
        <v>0</v>
      </c>
      <c r="T106" s="114">
        <f t="shared" si="84"/>
        <v>0</v>
      </c>
      <c r="U106" s="115">
        <f t="shared" si="84"/>
        <v>0</v>
      </c>
      <c r="V106" s="121">
        <f t="shared" si="84"/>
        <v>0</v>
      </c>
      <c r="W106" s="116"/>
    </row>
    <row r="107" spans="1:23" x14ac:dyDescent="0.2">
      <c r="A107" s="78"/>
      <c r="B107" s="78"/>
      <c r="C107" s="78"/>
      <c r="D107" s="78"/>
      <c r="E107" s="54" t="s">
        <v>105</v>
      </c>
      <c r="F107" s="9"/>
      <c r="G107" s="9"/>
      <c r="H107" s="9"/>
      <c r="I107" s="9"/>
      <c r="J107" s="9"/>
      <c r="K107" s="9"/>
      <c r="L107" s="11"/>
      <c r="M107" s="45" t="s">
        <v>48</v>
      </c>
      <c r="N107" s="45">
        <f>+SUMIF($M$71:$M$89,$M$107,N$71:N$89)/'Tx de change'!$B$4</f>
        <v>2410459.0446882527</v>
      </c>
      <c r="O107" s="55">
        <f>+SUMIF($M$71:$M$89,$M$107,O$71:O$89)/'Tx de change'!$B$4</f>
        <v>39963525.555258229</v>
      </c>
      <c r="P107" s="45">
        <f>+SUMIF($T$71:$T$89,$T$107,P$71:P$89)/'Tx de change'!$B$3</f>
        <v>-152431.7613354495</v>
      </c>
      <c r="Q107" s="45">
        <f>+SUMIF($T$71:$T$89,$T$107,Q$71:Q$89)/'Tx de change'!$B$3</f>
        <v>0</v>
      </c>
      <c r="R107" s="45">
        <f>+SUMIF(Q$71:Q$89,Q107,R$71:R$89)/'Tx de change'!$B$4</f>
        <v>0</v>
      </c>
      <c r="S107" s="45">
        <f>+U107-(P107+N107+Q107)</f>
        <v>-156321.54927905323</v>
      </c>
      <c r="T107" s="45" t="s">
        <v>48</v>
      </c>
      <c r="U107" s="45">
        <f>+SUMIF($T$71:$T$89,$T$107,U$71:U$89)/'Tx de change'!$B$2</f>
        <v>2101705.7340737502</v>
      </c>
      <c r="V107" s="55">
        <f>+SUMIF($T$71:$T$89,$T$107,V$71:V$89)/'Tx de change'!$B$2</f>
        <v>18353709.989392899</v>
      </c>
      <c r="W107" s="12"/>
    </row>
    <row r="108" spans="1:23" s="3" customFormat="1" x14ac:dyDescent="0.2">
      <c r="A108" s="79"/>
      <c r="B108" s="79"/>
      <c r="C108" s="79"/>
      <c r="D108" s="79"/>
      <c r="E108" s="48" t="s">
        <v>100</v>
      </c>
      <c r="F108" s="47"/>
      <c r="G108" s="47"/>
      <c r="H108" s="47" t="s">
        <v>39</v>
      </c>
      <c r="I108" s="47"/>
      <c r="J108" s="47"/>
      <c r="K108" s="47"/>
      <c r="L108" s="108"/>
      <c r="M108" s="49"/>
      <c r="N108" s="49">
        <f>SUMIFS(N$71:N$89,$M$71:$M$89,$M$107,$H$71:$H$89,$H108)/'Tx de change'!$B$4</f>
        <v>2410459.0446882527</v>
      </c>
      <c r="O108" s="51">
        <f>SUMIFS(O$71:O$89,$M$71:$M$89,$M$107,$H$71:$H$89,$H108)/'Tx de change'!$B$4</f>
        <v>39963525.555258229</v>
      </c>
      <c r="P108" s="49">
        <f>SUMIFS(P$71:P$89,$T$71:$T$89,$T$107,$H$71:$H$89,$H108)/'Tx de change'!$B$3</f>
        <v>-152431.7613354495</v>
      </c>
      <c r="Q108" s="49">
        <f>SUMIFS(Q$71:Q$89,$T$71:$T$89,$T$107,$H$71:$H$89,$H108)/'Tx de change'!$B$3</f>
        <v>0</v>
      </c>
      <c r="R108" s="49">
        <f>SUMIFS(R$71:R$89,$M$71:$M$89,$M$107,$H$71:$H$89,$H108)/'Tx de change'!$B$4</f>
        <v>0</v>
      </c>
      <c r="S108" s="49">
        <f>+U108-(P108+N108+Q108)</f>
        <v>-156321.54927905323</v>
      </c>
      <c r="T108" s="49"/>
      <c r="U108" s="49">
        <f>SUMIFS(U$71:U$89,$T$71:$T$89,$T$107,$H$71:$H$89,$H108)/'Tx de change'!$B$2</f>
        <v>2101705.7340737502</v>
      </c>
      <c r="V108" s="51">
        <f>SUMIFS(V$71:V$89,$T$71:$T$89,$T$107,$H$71:$H$89,$H108)/'Tx de change'!$B$2</f>
        <v>18353709.989392899</v>
      </c>
      <c r="W108" s="12"/>
    </row>
    <row r="109" spans="1:23" s="3" customFormat="1" x14ac:dyDescent="0.2">
      <c r="A109" s="79"/>
      <c r="B109" s="79"/>
      <c r="C109" s="79"/>
      <c r="D109" s="79"/>
      <c r="E109" s="48" t="s">
        <v>101</v>
      </c>
      <c r="F109" s="47"/>
      <c r="G109" s="47"/>
      <c r="H109" s="47" t="s">
        <v>34</v>
      </c>
      <c r="I109" s="47"/>
      <c r="J109" s="47"/>
      <c r="K109" s="47"/>
      <c r="L109" s="108"/>
      <c r="M109" s="49"/>
      <c r="N109" s="49">
        <f>SUMIFS(N$71:N$89,$M$71:$M$89,$M$107,$H$71:$H$89,$H109)/'Tx de change'!$B$4</f>
        <v>0</v>
      </c>
      <c r="O109" s="51">
        <f>SUMIFS(O$71:O$89,$M$71:$M$89,$M$107,$H$71:$H$89,$H109)/'Tx de change'!$B$4</f>
        <v>0</v>
      </c>
      <c r="P109" s="49">
        <f>SUMIFS(P$71:P$89,$T$71:$T$89,$T$107,$H$71:$H$89,$H109)/'Tx de change'!$B$3</f>
        <v>0</v>
      </c>
      <c r="Q109" s="49">
        <f>SUMIFS(Q$71:Q$89,$T$71:$T$89,$T$107,$H$71:$H$89,$H109)/'Tx de change'!$B$3</f>
        <v>0</v>
      </c>
      <c r="R109" s="49">
        <f>SUMIFS(R$71:R$89,$M$71:$M$89,$M$107,$H$71:$H$89,$H109)/'Tx de change'!$B$4</f>
        <v>0</v>
      </c>
      <c r="S109" s="49">
        <f t="shared" ref="S109:S110" si="85">+U109-(N109+Q109)</f>
        <v>0</v>
      </c>
      <c r="T109" s="49"/>
      <c r="U109" s="49">
        <f>SUMIFS(U$71:U$89,$T$71:$T$89,$T$107,$H$71:$H$89,$H109)/'Tx de change'!$B$2</f>
        <v>0</v>
      </c>
      <c r="V109" s="51">
        <f>SUMIFS(V$71:V$89,$T$71:$T$89,$T$107,$H$71:$H$89,$H109)/'Tx de change'!$B$2</f>
        <v>0</v>
      </c>
      <c r="W109" s="12"/>
    </row>
    <row r="110" spans="1:23" s="3" customFormat="1" x14ac:dyDescent="0.2">
      <c r="A110" s="79"/>
      <c r="B110" s="79"/>
      <c r="C110" s="79"/>
      <c r="D110" s="79"/>
      <c r="E110" s="48" t="s">
        <v>101</v>
      </c>
      <c r="F110" s="47"/>
      <c r="G110" s="47"/>
      <c r="H110" s="47" t="s">
        <v>26</v>
      </c>
      <c r="I110" s="47"/>
      <c r="J110" s="47"/>
      <c r="K110" s="47"/>
      <c r="L110" s="108"/>
      <c r="M110" s="49"/>
      <c r="N110" s="49">
        <f>SUMIFS(N$71:N$89,$M$71:$M$89,$M$107,$H$71:$H$89,$H110)/'Tx de change'!$B$4</f>
        <v>0</v>
      </c>
      <c r="O110" s="51">
        <f>SUMIFS(O$71:O$89,$M$71:$M$89,$M$107,$H$71:$H$89,$H110)/'Tx de change'!$B$4</f>
        <v>0</v>
      </c>
      <c r="P110" s="49">
        <f>SUMIFS(P$71:P$89,$T$71:$T$89,$T$107,$H$71:$H$89,$H110)/'Tx de change'!$B$3</f>
        <v>0</v>
      </c>
      <c r="Q110" s="49">
        <f>SUMIFS(Q$71:Q$89,$T$71:$T$89,$T$107,$H$71:$H$89,$H110)/'Tx de change'!$B$3</f>
        <v>0</v>
      </c>
      <c r="R110" s="49">
        <f>SUMIFS(R$71:R$89,$M$71:$M$89,$M$107,$H$71:$H$89,$H110)/'Tx de change'!$B$4</f>
        <v>0</v>
      </c>
      <c r="S110" s="49">
        <f t="shared" si="85"/>
        <v>0</v>
      </c>
      <c r="T110" s="49"/>
      <c r="U110" s="49">
        <f>SUMIFS(U$71:U$89,$T$71:$T$89,$T$107,$H$71:$H$89,$H110)/'Tx de change'!$B$2</f>
        <v>0</v>
      </c>
      <c r="V110" s="51">
        <f>SUMIFS(V$71:V$89,$T$71:$T$89,$T$107,$H$71:$H$89,$H110)/'Tx de change'!$B$2</f>
        <v>0</v>
      </c>
      <c r="W110" s="12"/>
    </row>
    <row r="111" spans="1:23" x14ac:dyDescent="0.2">
      <c r="A111" s="9"/>
      <c r="B111" s="9"/>
      <c r="C111" s="9"/>
      <c r="D111" s="9"/>
      <c r="E111" s="56" t="s">
        <v>106</v>
      </c>
      <c r="F111" s="9"/>
      <c r="G111" s="9"/>
      <c r="H111" s="9"/>
      <c r="I111" s="9"/>
      <c r="J111" s="9"/>
      <c r="K111" s="9"/>
      <c r="L111" s="11"/>
      <c r="M111" s="45" t="s">
        <v>103</v>
      </c>
      <c r="N111" s="45">
        <f>+SUMIF($M$71:$M$89,$M$111,N$71:N$89)/'Tx de change'!$B$4</f>
        <v>-362996.41423601814</v>
      </c>
      <c r="O111" s="55">
        <f>+SUMIF($M$71:$M$89,$M$111,O$71:O$89)/'Tx de change'!$B$4</f>
        <v>43644818.03585764</v>
      </c>
      <c r="P111" s="45">
        <f>+SUMIF($T$71:$T$89,$T$111,P$71:P$89)/'Tx de change'!$B$3</f>
        <v>-214357.55397925767</v>
      </c>
      <c r="Q111" s="45">
        <f>+SUMIF($T$71:$T$89,$T$111,Q$71:Q$89)/'Tx de change'!$B$3</f>
        <v>0</v>
      </c>
      <c r="R111" s="45">
        <f>+SUMIF(Q$71:Q$89,Q111,R$71:R$89)/'Tx de change'!$B$4</f>
        <v>0</v>
      </c>
      <c r="S111" s="45">
        <f>+U111-(P111+N111+Q111)</f>
        <v>32819.501378063578</v>
      </c>
      <c r="T111" s="45" t="s">
        <v>103</v>
      </c>
      <c r="U111" s="45">
        <f>+SUMIF($T$71:$T$89,$T$111,U$71:U$89)/'Tx de change'!$B$2</f>
        <v>-544534.46683721221</v>
      </c>
      <c r="V111" s="55">
        <f>+SUMIF($T$71:$T$89,$T$111,V$71:V$89)/'Tx de change'!$B$2</f>
        <v>2347562.2387221563</v>
      </c>
      <c r="W111" s="12"/>
    </row>
    <row r="112" spans="1:23" s="3" customFormat="1" x14ac:dyDescent="0.2">
      <c r="A112" s="79"/>
      <c r="B112" s="79"/>
      <c r="C112" s="79"/>
      <c r="D112" s="79"/>
      <c r="E112" s="48" t="s">
        <v>100</v>
      </c>
      <c r="F112" s="47"/>
      <c r="G112" s="47"/>
      <c r="H112" s="47" t="s">
        <v>39</v>
      </c>
      <c r="I112" s="47"/>
      <c r="J112" s="47"/>
      <c r="K112" s="47"/>
      <c r="L112" s="108"/>
      <c r="M112" s="49"/>
      <c r="N112" s="49">
        <f>SUMIFS(N$71:N$89,$M$71:$M$89,$M$111,$H$71:$H$89,$H112)/'Tx de change'!$B$4</f>
        <v>-362996.41423601814</v>
      </c>
      <c r="O112" s="51">
        <f>SUMIFS(O$71:O$89,$M$71:$M$89,$M$111,$H$71:$H$89,$H112)/'Tx de change'!$B$4</f>
        <v>43644818.03585764</v>
      </c>
      <c r="P112" s="49">
        <f>SUMIFS(P$71:P$89,$T$71:$T$89,$T$111,$H$71:$H$89,$H112)/'Tx de change'!$B$3</f>
        <v>-214357.55397925767</v>
      </c>
      <c r="Q112" s="49">
        <f>SUMIFS(Q$71:Q$89,$T$71:$T$89,$T$111,$H$71:$H$89,$H112)/'Tx de change'!$B$3</f>
        <v>0</v>
      </c>
      <c r="R112" s="49">
        <f>SUMIFS(R$71:R$89,$M$71:$M$89,$M$111,$H$71:$H$89,$H112)/'Tx de change'!$B$4</f>
        <v>0</v>
      </c>
      <c r="S112" s="49">
        <f>+U112-(P112+N112+Q112)</f>
        <v>32819.501378063578</v>
      </c>
      <c r="T112" s="49"/>
      <c r="U112" s="49">
        <f>SUMIFS(U$71:U$89,$T$71:$T$89,$T$111,$H$71:$H$89,$H112)/'Tx de change'!$B$2</f>
        <v>-544534.46683721221</v>
      </c>
      <c r="V112" s="51">
        <f>SUMIFS(V$71:V$89,$T$71:$T$89,$T$111,$H$71:$H$89,$H112)/'Tx de change'!$B$2</f>
        <v>2347562.2387221563</v>
      </c>
      <c r="W112" s="12"/>
    </row>
    <row r="113" spans="1:23" s="3" customFormat="1" x14ac:dyDescent="0.2">
      <c r="A113" s="79"/>
      <c r="B113" s="79"/>
      <c r="C113" s="79"/>
      <c r="D113" s="79"/>
      <c r="E113" s="48" t="s">
        <v>101</v>
      </c>
      <c r="F113" s="47"/>
      <c r="G113" s="47"/>
      <c r="H113" s="47" t="s">
        <v>34</v>
      </c>
      <c r="I113" s="47"/>
      <c r="J113" s="47"/>
      <c r="K113" s="47"/>
      <c r="L113" s="108"/>
      <c r="M113" s="49"/>
      <c r="N113" s="49">
        <f>SUMIFS(N$71:N$89,$M$71:$M$89,$M$111,$H$71:$H$89,$H113)/'Tx de change'!$B$4</f>
        <v>0</v>
      </c>
      <c r="O113" s="51">
        <f>SUMIFS(O$71:O$89,$M$71:$M$89,$M$111,$H$71:$H$89,$H113)/'Tx de change'!$B$4</f>
        <v>0</v>
      </c>
      <c r="P113" s="49">
        <f>SUMIFS(P$71:P$89,$T$71:$T$89,$T$107,$H$71:$H$89,$H113)/'Tx de change'!$B$3</f>
        <v>0</v>
      </c>
      <c r="Q113" s="49">
        <f>SUMIFS(Q$71:Q$89,$T$71:$T$89,$T$111,$H$71:$H$89,$H113)/'Tx de change'!$B$3</f>
        <v>0</v>
      </c>
      <c r="R113" s="49">
        <f>SUMIFS(R$71:R$89,$M$71:$M$89,$M$111,$H$71:$H$89,$H113)/'Tx de change'!$B$4</f>
        <v>0</v>
      </c>
      <c r="S113" s="49">
        <f t="shared" ref="S113:S114" si="86">+U113-(N113+Q113)</f>
        <v>0</v>
      </c>
      <c r="T113" s="49"/>
      <c r="U113" s="49">
        <f>SUMIFS(U$71:U$89,$T$71:$T$89,$T$111,$H$71:$H$89,$H113)/'Tx de change'!$B$2</f>
        <v>0</v>
      </c>
      <c r="V113" s="51">
        <f>SUMIFS(V$71:V$89,$T$71:$T$89,$T$111,$H$71:$H$89,$H113)/'Tx de change'!$B$2</f>
        <v>0</v>
      </c>
      <c r="W113" s="12"/>
    </row>
    <row r="114" spans="1:23" s="3" customFormat="1" ht="12.75" thickBot="1" x14ac:dyDescent="0.25">
      <c r="A114" s="79"/>
      <c r="B114" s="79"/>
      <c r="C114" s="79"/>
      <c r="D114" s="79"/>
      <c r="E114" s="48" t="s">
        <v>101</v>
      </c>
      <c r="F114" s="47"/>
      <c r="G114" s="47"/>
      <c r="H114" s="47" t="s">
        <v>26</v>
      </c>
      <c r="I114" s="47"/>
      <c r="J114" s="47"/>
      <c r="K114" s="47"/>
      <c r="L114" s="108"/>
      <c r="M114" s="49"/>
      <c r="N114" s="49">
        <f>SUMIFS(N$71:N$89,$M$71:$M$89,$M$111,$H$71:$H$89,$H114)/'Tx de change'!$B$4</f>
        <v>0</v>
      </c>
      <c r="O114" s="57">
        <f>SUMIFS(O$71:O$89,$M$71:$M$89,$M$111,$H$71:$H$89,$H114)/'Tx de change'!$B$4</f>
        <v>0</v>
      </c>
      <c r="P114" s="49">
        <f>SUMIFS(P$71:P$89,$T$71:$T$89,$T$107,$H$71:$H$89,$H114)/'Tx de change'!$B$3</f>
        <v>0</v>
      </c>
      <c r="Q114" s="49">
        <f>SUMIFS(Q$71:Q$89,$T$71:$T$89,$T$111,$H$71:$H$89,$H114)/'Tx de change'!$B$3</f>
        <v>0</v>
      </c>
      <c r="R114" s="49">
        <f>SUMIFS(R$71:R$89,$M$71:$M$89,$M$111,$H$71:$H$89,$H114)/'Tx de change'!$B$4</f>
        <v>0</v>
      </c>
      <c r="S114" s="49">
        <f t="shared" si="86"/>
        <v>0</v>
      </c>
      <c r="T114" s="49"/>
      <c r="U114" s="49">
        <f>SUMIFS(U$71:U$89,$T$71:$T$89,$T$111,$H$71:$H$89,$H114)/'Tx de change'!$B$2</f>
        <v>0</v>
      </c>
      <c r="V114" s="51">
        <f>SUMIFS(V$71:V$89,$T$71:$T$89,$T$111,$H$71:$H$89,$H114)/'Tx de change'!$B$2</f>
        <v>0</v>
      </c>
      <c r="W114" s="12"/>
    </row>
    <row r="115" spans="1:23" ht="12.75" thickBot="1" x14ac:dyDescent="0.25">
      <c r="A115" s="10"/>
      <c r="B115" s="10"/>
      <c r="C115" s="10"/>
      <c r="D115" s="10"/>
      <c r="E115" s="58" t="s">
        <v>107</v>
      </c>
      <c r="F115" s="59"/>
      <c r="G115" s="59"/>
      <c r="H115" s="59"/>
      <c r="I115" s="59"/>
      <c r="J115" s="59"/>
      <c r="K115" s="59"/>
      <c r="L115" s="60"/>
      <c r="M115" s="61">
        <f>SUM(M107,M111)</f>
        <v>0</v>
      </c>
      <c r="N115" s="61">
        <f>+N107+N111</f>
        <v>2047462.6304522345</v>
      </c>
      <c r="O115" s="62">
        <f>+O107+O111</f>
        <v>83608343.591115862</v>
      </c>
      <c r="P115" s="61">
        <f t="shared" ref="P115:R115" si="87">+P107+P111</f>
        <v>-366789.31531470717</v>
      </c>
      <c r="Q115" s="61">
        <f t="shared" si="87"/>
        <v>0</v>
      </c>
      <c r="R115" s="61">
        <f t="shared" si="87"/>
        <v>0</v>
      </c>
      <c r="S115" s="61">
        <f>SUM(S107,S111)</f>
        <v>-123502.04790098965</v>
      </c>
      <c r="T115" s="61">
        <f>SUM(T107,T111)</f>
        <v>0</v>
      </c>
      <c r="U115" s="61">
        <f>SUM(U107,U111)</f>
        <v>1557171.267236538</v>
      </c>
      <c r="V115" s="62">
        <f>SUM(V107,V111)</f>
        <v>20701272.228115056</v>
      </c>
      <c r="W115" s="12"/>
    </row>
    <row r="116" spans="1:23" ht="12.75" thickBot="1" x14ac:dyDescent="0.25">
      <c r="A116" s="9"/>
      <c r="B116" s="9"/>
      <c r="C116" s="9"/>
      <c r="D116" s="9"/>
      <c r="E116" s="56"/>
      <c r="F116" s="9"/>
      <c r="G116" s="9"/>
      <c r="H116" s="9"/>
      <c r="I116" s="9"/>
      <c r="J116" s="9"/>
      <c r="K116" s="9"/>
      <c r="L116" s="11"/>
      <c r="M116" s="45"/>
      <c r="N116" s="45"/>
      <c r="O116" s="55"/>
      <c r="P116" s="45"/>
      <c r="Q116" s="45"/>
      <c r="R116" s="45"/>
      <c r="S116" s="45"/>
      <c r="T116" s="45"/>
      <c r="U116" s="45"/>
      <c r="V116" s="55"/>
      <c r="W116" s="12"/>
    </row>
    <row r="117" spans="1:23" ht="12.75" thickBot="1" x14ac:dyDescent="0.25">
      <c r="A117" s="10"/>
      <c r="B117" s="10"/>
      <c r="C117" s="10"/>
      <c r="D117" s="10"/>
      <c r="E117" s="58" t="s">
        <v>108</v>
      </c>
      <c r="F117" s="59"/>
      <c r="G117" s="59"/>
      <c r="H117" s="59"/>
      <c r="I117" s="59"/>
      <c r="J117" s="59"/>
      <c r="K117" s="59"/>
      <c r="L117" s="60"/>
      <c r="M117" s="61"/>
      <c r="N117" s="61">
        <f>+N115+N105</f>
        <v>-307992.88954776595</v>
      </c>
      <c r="O117" s="62">
        <f>+O115+O105</f>
        <v>377354585.18111587</v>
      </c>
      <c r="P117" s="61">
        <f t="shared" ref="P117:R117" si="88">+P115+P105</f>
        <v>-366789.31531470717</v>
      </c>
      <c r="Q117" s="61">
        <f t="shared" si="88"/>
        <v>-470058.94000000012</v>
      </c>
      <c r="R117" s="61">
        <f t="shared" si="88"/>
        <v>0</v>
      </c>
      <c r="S117" s="61">
        <f>+S115+S105</f>
        <v>-123502.04790098965</v>
      </c>
      <c r="T117" s="61"/>
      <c r="U117" s="61">
        <f>+U115+U105</f>
        <v>-1268343.192763462</v>
      </c>
      <c r="V117" s="62">
        <f>+V115+V105</f>
        <v>330896077.34811509</v>
      </c>
      <c r="W117" s="12"/>
    </row>
    <row r="118" spans="1:23" x14ac:dyDescent="0.2">
      <c r="A118" s="9"/>
      <c r="B118" s="9"/>
      <c r="C118" s="9"/>
      <c r="D118" s="9"/>
      <c r="E118" s="122"/>
      <c r="F118" s="123"/>
      <c r="G118" s="123"/>
      <c r="H118" s="123"/>
      <c r="I118" s="123"/>
      <c r="J118" s="123"/>
      <c r="K118" s="123"/>
      <c r="L118" s="124"/>
      <c r="M118" s="125"/>
      <c r="N118" s="125">
        <f>+N117-N91-N65</f>
        <v>0</v>
      </c>
      <c r="O118" s="125">
        <f>+O117-O91-O65</f>
        <v>0</v>
      </c>
      <c r="P118" s="125">
        <f>+P117-P91-P65</f>
        <v>0</v>
      </c>
      <c r="Q118" s="125">
        <f>+Q117-Q91-Q65</f>
        <v>0</v>
      </c>
      <c r="R118" s="125">
        <f>+R117-R91-R65</f>
        <v>0</v>
      </c>
      <c r="S118" s="125"/>
      <c r="T118" s="125"/>
      <c r="U118" s="125">
        <f>+U117-U91-U65</f>
        <v>0</v>
      </c>
      <c r="V118" s="126">
        <f>+V117-V91-V65</f>
        <v>0</v>
      </c>
      <c r="W118" s="12"/>
    </row>
    <row r="119" spans="1:23" x14ac:dyDescent="0.2">
      <c r="A119" s="9"/>
      <c r="B119" s="9"/>
      <c r="C119" s="9"/>
      <c r="D119" s="9"/>
      <c r="E119" s="56"/>
      <c r="F119" s="9"/>
      <c r="G119" s="9"/>
      <c r="H119" s="9"/>
      <c r="I119" s="9"/>
      <c r="J119" s="9"/>
      <c r="K119" s="9"/>
      <c r="L119" s="11"/>
      <c r="M119" s="45"/>
      <c r="N119" s="45"/>
      <c r="O119" s="11"/>
      <c r="P119" s="45"/>
      <c r="Q119" s="45"/>
      <c r="R119" s="45"/>
      <c r="S119" s="45"/>
      <c r="T119" s="45"/>
      <c r="U119" s="45"/>
      <c r="V119" s="63"/>
      <c r="W119" s="12"/>
    </row>
    <row r="120" spans="1:23" ht="12.75" thickBot="1" x14ac:dyDescent="0.25">
      <c r="A120" s="9"/>
      <c r="B120" s="9"/>
      <c r="C120" s="9"/>
      <c r="D120" s="9"/>
      <c r="E120" s="56"/>
      <c r="F120" s="9"/>
      <c r="G120" s="9"/>
      <c r="H120" s="9"/>
      <c r="I120" s="9"/>
      <c r="J120" s="111"/>
      <c r="K120" s="111"/>
      <c r="L120" s="11"/>
      <c r="M120" s="45"/>
      <c r="N120" s="45"/>
      <c r="O120" s="11"/>
      <c r="P120" s="45"/>
      <c r="Q120" s="45"/>
      <c r="R120" s="45"/>
      <c r="S120" s="45"/>
      <c r="T120" s="45"/>
      <c r="U120" s="45"/>
      <c r="V120" s="63"/>
      <c r="W120" s="12"/>
    </row>
    <row r="121" spans="1:23" x14ac:dyDescent="0.2">
      <c r="A121" s="80"/>
      <c r="B121" s="80"/>
      <c r="C121" s="80"/>
      <c r="D121" s="80"/>
      <c r="E121" s="64"/>
      <c r="F121" s="9"/>
      <c r="G121" s="9"/>
      <c r="H121" s="9"/>
      <c r="I121" s="9"/>
      <c r="J121" s="9"/>
      <c r="K121" s="9">
        <v>2023</v>
      </c>
      <c r="L121" s="11"/>
      <c r="M121" s="45"/>
      <c r="N121" s="218">
        <f t="shared" ref="N121:O132" si="89">+SUMIF($K$9:$K$64,$K121,N$9:N$64)</f>
        <v>0</v>
      </c>
      <c r="O121" s="219">
        <f t="shared" si="89"/>
        <v>0</v>
      </c>
      <c r="P121" s="45"/>
      <c r="Q121" s="45"/>
      <c r="R121" s="45"/>
      <c r="S121" s="45"/>
      <c r="T121" s="45"/>
      <c r="U121" s="218">
        <f t="shared" ref="U121:V132" si="90">+SUMIF($K$9:$K$64,$K121,U$9:U$64)</f>
        <v>0</v>
      </c>
      <c r="V121" s="219">
        <f t="shared" si="90"/>
        <v>0</v>
      </c>
      <c r="W121" s="12"/>
    </row>
    <row r="122" spans="1:23" x14ac:dyDescent="0.2">
      <c r="A122" s="80"/>
      <c r="B122" s="80"/>
      <c r="C122" s="80"/>
      <c r="D122" s="80"/>
      <c r="E122" s="64"/>
      <c r="F122" s="9"/>
      <c r="G122" s="9"/>
      <c r="H122" s="9"/>
      <c r="I122" s="9"/>
      <c r="J122" s="9"/>
      <c r="K122" s="9">
        <v>2024</v>
      </c>
      <c r="L122" s="11"/>
      <c r="M122" s="45"/>
      <c r="N122" s="220">
        <f t="shared" si="89"/>
        <v>0</v>
      </c>
      <c r="O122" s="221">
        <f t="shared" si="89"/>
        <v>0</v>
      </c>
      <c r="P122" s="45"/>
      <c r="Q122" s="45"/>
      <c r="R122" s="45"/>
      <c r="S122" s="45"/>
      <c r="T122" s="45"/>
      <c r="U122" s="220">
        <f t="shared" si="90"/>
        <v>0</v>
      </c>
      <c r="V122" s="221">
        <f t="shared" si="90"/>
        <v>0</v>
      </c>
      <c r="W122" s="12"/>
    </row>
    <row r="123" spans="1:23" x14ac:dyDescent="0.2">
      <c r="A123" s="80"/>
      <c r="B123" s="80"/>
      <c r="C123" s="80"/>
      <c r="D123" s="80"/>
      <c r="E123" s="64"/>
      <c r="F123" s="9"/>
      <c r="G123" s="9"/>
      <c r="H123" s="9"/>
      <c r="I123" s="9"/>
      <c r="J123" s="9"/>
      <c r="K123" s="9">
        <v>2025</v>
      </c>
      <c r="L123" s="11"/>
      <c r="M123" s="45"/>
      <c r="N123" s="220">
        <f t="shared" si="89"/>
        <v>20898.880000000005</v>
      </c>
      <c r="O123" s="221">
        <f t="shared" si="89"/>
        <v>41166972</v>
      </c>
      <c r="P123" s="45"/>
      <c r="Q123" s="45"/>
      <c r="R123" s="45"/>
      <c r="S123" s="45"/>
      <c r="T123" s="45"/>
      <c r="U123" s="220">
        <f t="shared" si="90"/>
        <v>-17723.599999999999</v>
      </c>
      <c r="V123" s="221">
        <f t="shared" si="90"/>
        <v>49596432</v>
      </c>
      <c r="W123" s="12"/>
    </row>
    <row r="124" spans="1:23" x14ac:dyDescent="0.2">
      <c r="A124" s="80"/>
      <c r="B124" s="80"/>
      <c r="C124" s="80"/>
      <c r="D124" s="80"/>
      <c r="E124" s="64"/>
      <c r="F124" s="9"/>
      <c r="G124" s="9"/>
      <c r="H124" s="9"/>
      <c r="I124" s="9"/>
      <c r="J124" s="9"/>
      <c r="K124" s="9">
        <v>2026</v>
      </c>
      <c r="L124" s="11"/>
      <c r="M124" s="45"/>
      <c r="N124" s="220">
        <f t="shared" si="89"/>
        <v>624986.71</v>
      </c>
      <c r="O124" s="221">
        <f t="shared" si="89"/>
        <v>97682094.310000002</v>
      </c>
      <c r="P124" s="45"/>
      <c r="Q124" s="45"/>
      <c r="R124" s="45"/>
      <c r="S124" s="45"/>
      <c r="T124" s="45"/>
      <c r="U124" s="220">
        <f t="shared" si="90"/>
        <v>152530.65</v>
      </c>
      <c r="V124" s="221">
        <f t="shared" si="90"/>
        <v>97322912.120000005</v>
      </c>
      <c r="W124" s="12"/>
    </row>
    <row r="125" spans="1:23" x14ac:dyDescent="0.2">
      <c r="A125" s="80"/>
      <c r="B125" s="80"/>
      <c r="C125" s="80"/>
      <c r="D125" s="80"/>
      <c r="E125" s="64"/>
      <c r="F125" s="9"/>
      <c r="G125" s="9"/>
      <c r="H125" s="9"/>
      <c r="I125" s="9"/>
      <c r="J125" s="9"/>
      <c r="K125" s="9">
        <v>2027</v>
      </c>
      <c r="L125" s="11"/>
      <c r="M125" s="45"/>
      <c r="N125" s="220">
        <f t="shared" si="89"/>
        <v>183430.99</v>
      </c>
      <c r="O125" s="221">
        <f t="shared" si="89"/>
        <v>20655875.280000001</v>
      </c>
      <c r="P125" s="45"/>
      <c r="Q125" s="45"/>
      <c r="R125" s="45"/>
      <c r="S125" s="45"/>
      <c r="T125" s="45"/>
      <c r="U125" s="220">
        <f t="shared" si="90"/>
        <v>1136.1899999999732</v>
      </c>
      <c r="V125" s="221">
        <f t="shared" si="90"/>
        <v>20878224</v>
      </c>
      <c r="W125" s="12"/>
    </row>
    <row r="126" spans="1:23" x14ac:dyDescent="0.2">
      <c r="A126" s="80"/>
      <c r="B126" s="80"/>
      <c r="C126" s="80"/>
      <c r="D126" s="80"/>
      <c r="E126" s="64"/>
      <c r="F126" s="9"/>
      <c r="G126" s="9"/>
      <c r="H126" s="9"/>
      <c r="I126" s="9"/>
      <c r="J126" s="9"/>
      <c r="K126" s="9">
        <v>2028</v>
      </c>
      <c r="L126" s="11"/>
      <c r="M126" s="45"/>
      <c r="N126" s="220">
        <f t="shared" si="89"/>
        <v>-77841.320000000007</v>
      </c>
      <c r="O126" s="221">
        <f t="shared" si="89"/>
        <v>2054000</v>
      </c>
      <c r="P126" s="45"/>
      <c r="Q126" s="45"/>
      <c r="R126" s="45"/>
      <c r="S126" s="45"/>
      <c r="T126" s="45"/>
      <c r="U126" s="220">
        <f t="shared" si="90"/>
        <v>-101603.07</v>
      </c>
      <c r="V126" s="221">
        <f t="shared" si="90"/>
        <v>5654000</v>
      </c>
      <c r="W126" s="12"/>
    </row>
    <row r="127" spans="1:23" x14ac:dyDescent="0.2">
      <c r="A127" s="80"/>
      <c r="B127" s="80"/>
      <c r="C127" s="80"/>
      <c r="D127" s="80"/>
      <c r="E127" s="64"/>
      <c r="F127" s="9"/>
      <c r="G127" s="9"/>
      <c r="H127" s="9"/>
      <c r="I127" s="9"/>
      <c r="J127" s="9"/>
      <c r="K127" s="9">
        <v>2029</v>
      </c>
      <c r="L127" s="11"/>
      <c r="M127" s="45"/>
      <c r="N127" s="220">
        <f t="shared" si="89"/>
        <v>-3023975.84</v>
      </c>
      <c r="O127" s="221">
        <f t="shared" si="89"/>
        <v>115087300</v>
      </c>
      <c r="P127" s="45"/>
      <c r="Q127" s="45"/>
      <c r="R127" s="45"/>
      <c r="S127" s="45"/>
      <c r="T127" s="45"/>
      <c r="U127" s="220">
        <f t="shared" si="90"/>
        <v>-2843332.02</v>
      </c>
      <c r="V127" s="221">
        <f t="shared" si="90"/>
        <v>114956562</v>
      </c>
      <c r="W127" s="12"/>
    </row>
    <row r="128" spans="1:23" x14ac:dyDescent="0.2">
      <c r="A128" s="80"/>
      <c r="B128" s="80"/>
      <c r="C128" s="80"/>
      <c r="D128" s="80"/>
      <c r="E128" s="64"/>
      <c r="F128" s="9"/>
      <c r="G128" s="9"/>
      <c r="H128" s="9"/>
      <c r="I128" s="9"/>
      <c r="J128" s="9"/>
      <c r="K128" s="9">
        <v>2030</v>
      </c>
      <c r="L128" s="11"/>
      <c r="M128" s="45"/>
      <c r="N128" s="220">
        <f t="shared" si="89"/>
        <v>0</v>
      </c>
      <c r="O128" s="221">
        <f t="shared" si="89"/>
        <v>0</v>
      </c>
      <c r="P128" s="45"/>
      <c r="Q128" s="45"/>
      <c r="R128" s="45"/>
      <c r="S128" s="45"/>
      <c r="T128" s="45"/>
      <c r="U128" s="220">
        <f t="shared" si="90"/>
        <v>0</v>
      </c>
      <c r="V128" s="221">
        <f t="shared" si="90"/>
        <v>0</v>
      </c>
      <c r="W128" s="12"/>
    </row>
    <row r="129" spans="1:23" x14ac:dyDescent="0.2">
      <c r="A129" s="80"/>
      <c r="B129" s="80"/>
      <c r="C129" s="80"/>
      <c r="D129" s="80"/>
      <c r="E129" s="64"/>
      <c r="F129" s="9"/>
      <c r="G129" s="9"/>
      <c r="H129" s="9"/>
      <c r="I129" s="9"/>
      <c r="J129" s="9"/>
      <c r="K129" s="9">
        <v>2032</v>
      </c>
      <c r="L129" s="11"/>
      <c r="M129" s="45"/>
      <c r="N129" s="220">
        <f t="shared" si="89"/>
        <v>0</v>
      </c>
      <c r="O129" s="221">
        <f t="shared" si="89"/>
        <v>0</v>
      </c>
      <c r="P129" s="45"/>
      <c r="Q129" s="45"/>
      <c r="R129" s="45"/>
      <c r="S129" s="45"/>
      <c r="T129" s="45"/>
      <c r="U129" s="220">
        <f t="shared" si="90"/>
        <v>-1462.44</v>
      </c>
      <c r="V129" s="221">
        <f t="shared" si="90"/>
        <v>4815075</v>
      </c>
      <c r="W129" s="12"/>
    </row>
    <row r="130" spans="1:23" x14ac:dyDescent="0.2">
      <c r="A130" s="80"/>
      <c r="B130" s="80"/>
      <c r="C130" s="80"/>
      <c r="D130" s="80"/>
      <c r="E130" s="64"/>
      <c r="F130" s="9"/>
      <c r="G130" s="9"/>
      <c r="H130" s="9"/>
      <c r="I130" s="9"/>
      <c r="J130" s="9"/>
      <c r="K130" s="9">
        <v>2034</v>
      </c>
      <c r="L130" s="11"/>
      <c r="M130" s="45"/>
      <c r="N130" s="220">
        <f t="shared" si="89"/>
        <v>-82954.94</v>
      </c>
      <c r="O130" s="221">
        <f t="shared" si="89"/>
        <v>17100000</v>
      </c>
      <c r="P130" s="45"/>
      <c r="Q130" s="45"/>
      <c r="R130" s="45"/>
      <c r="S130" s="45"/>
      <c r="T130" s="45"/>
      <c r="U130" s="220">
        <f t="shared" si="90"/>
        <v>-15060.170000000002</v>
      </c>
      <c r="V130" s="221">
        <f t="shared" si="90"/>
        <v>16971600</v>
      </c>
      <c r="W130" s="12"/>
    </row>
    <row r="131" spans="1:23" x14ac:dyDescent="0.2">
      <c r="A131" s="80"/>
      <c r="B131" s="80"/>
      <c r="C131" s="80"/>
      <c r="D131" s="80"/>
      <c r="E131" s="64"/>
      <c r="F131" s="9"/>
      <c r="G131" s="9"/>
      <c r="H131" s="9"/>
      <c r="I131" s="9"/>
      <c r="J131" s="9"/>
      <c r="K131" s="9">
        <v>2037</v>
      </c>
      <c r="L131" s="11"/>
      <c r="M131" s="45"/>
      <c r="N131" s="220">
        <f t="shared" si="89"/>
        <v>0</v>
      </c>
      <c r="O131" s="221">
        <f t="shared" si="89"/>
        <v>0</v>
      </c>
      <c r="P131" s="45"/>
      <c r="Q131" s="45"/>
      <c r="R131" s="45"/>
      <c r="S131" s="45"/>
      <c r="T131" s="45"/>
      <c r="U131" s="220">
        <f t="shared" si="90"/>
        <v>0</v>
      </c>
      <c r="V131" s="221">
        <f t="shared" si="90"/>
        <v>0</v>
      </c>
      <c r="W131" s="12"/>
    </row>
    <row r="132" spans="1:23" ht="12.75" thickBot="1" x14ac:dyDescent="0.25">
      <c r="A132" s="80"/>
      <c r="B132" s="80"/>
      <c r="C132" s="80"/>
      <c r="D132" s="80"/>
      <c r="E132" s="64"/>
      <c r="F132" s="9"/>
      <c r="G132" s="9"/>
      <c r="H132" s="9"/>
      <c r="I132" s="9"/>
      <c r="J132" s="9"/>
      <c r="K132" s="2">
        <v>2038</v>
      </c>
      <c r="L132" s="11"/>
      <c r="M132" s="45"/>
      <c r="N132" s="222">
        <f t="shared" si="89"/>
        <v>0</v>
      </c>
      <c r="O132" s="223">
        <f t="shared" si="89"/>
        <v>0</v>
      </c>
      <c r="P132" s="45"/>
      <c r="Q132" s="45"/>
      <c r="R132" s="45"/>
      <c r="S132" s="45"/>
      <c r="T132" s="45"/>
      <c r="U132" s="222">
        <f t="shared" si="90"/>
        <v>0</v>
      </c>
      <c r="V132" s="223">
        <f t="shared" si="90"/>
        <v>0</v>
      </c>
      <c r="W132" s="12"/>
    </row>
    <row r="133" spans="1:23" ht="12.75" thickBot="1" x14ac:dyDescent="0.25">
      <c r="A133" s="10"/>
      <c r="B133" s="10"/>
      <c r="C133" s="10"/>
      <c r="D133" s="10"/>
      <c r="E133" s="127" t="s">
        <v>104</v>
      </c>
      <c r="F133" s="65"/>
      <c r="G133" s="10"/>
      <c r="H133" s="9"/>
      <c r="I133" s="9"/>
      <c r="J133" s="111"/>
      <c r="K133" s="111"/>
      <c r="L133" s="11"/>
      <c r="M133" s="55"/>
      <c r="N133" s="128">
        <f>SUM(N121:N132)</f>
        <v>-2355455.52</v>
      </c>
      <c r="O133" s="129">
        <f>SUM(O121:O132)</f>
        <v>293746241.59000003</v>
      </c>
      <c r="P133" s="68"/>
      <c r="Q133" s="45"/>
      <c r="R133" s="45"/>
      <c r="S133" s="45"/>
      <c r="T133" s="55"/>
      <c r="U133" s="128">
        <f>SUM(U121:U132)</f>
        <v>-2825514.46</v>
      </c>
      <c r="V133" s="130">
        <f>SUM(V121:V132)</f>
        <v>310194805.12</v>
      </c>
      <c r="W133" s="52"/>
    </row>
    <row r="134" spans="1:23" x14ac:dyDescent="0.2">
      <c r="A134" s="9"/>
      <c r="B134" s="9"/>
      <c r="C134" s="9"/>
      <c r="D134" s="9"/>
      <c r="E134" s="131"/>
      <c r="F134" s="132"/>
      <c r="G134" s="132"/>
      <c r="H134" s="132"/>
      <c r="I134" s="132"/>
      <c r="J134" s="132"/>
      <c r="K134" s="132"/>
      <c r="L134" s="133"/>
      <c r="M134" s="134"/>
      <c r="N134" s="134">
        <f>+N133-N105</f>
        <v>0</v>
      </c>
      <c r="O134" s="134">
        <f>+O133-O105</f>
        <v>0</v>
      </c>
      <c r="P134" s="134"/>
      <c r="Q134" s="134"/>
      <c r="R134" s="134"/>
      <c r="S134" s="134"/>
      <c r="T134" s="134"/>
      <c r="U134" s="134">
        <f>+U133-U105</f>
        <v>0</v>
      </c>
      <c r="V134" s="135">
        <f>+V133-V105</f>
        <v>0</v>
      </c>
      <c r="W134" s="12"/>
    </row>
    <row r="135" spans="1:23" ht="12.75" thickBot="1" x14ac:dyDescent="0.25">
      <c r="A135" s="10"/>
      <c r="B135" s="10"/>
      <c r="C135" s="10"/>
      <c r="D135" s="10"/>
      <c r="E135" s="65"/>
      <c r="F135" s="10"/>
      <c r="G135" s="10"/>
      <c r="H135" s="9"/>
      <c r="I135" s="9"/>
      <c r="J135" s="111"/>
      <c r="K135" s="111"/>
      <c r="L135" s="11"/>
      <c r="M135" s="45"/>
      <c r="N135" s="45"/>
      <c r="O135" s="136"/>
      <c r="P135" s="45"/>
      <c r="Q135" s="45"/>
      <c r="R135" s="45"/>
      <c r="S135" s="45"/>
      <c r="T135" s="45"/>
      <c r="U135" s="45"/>
      <c r="V135" s="69"/>
      <c r="W135" s="52"/>
    </row>
    <row r="136" spans="1:23" x14ac:dyDescent="0.2">
      <c r="A136" s="80"/>
      <c r="B136" s="80"/>
      <c r="C136" s="80"/>
      <c r="D136" s="80"/>
      <c r="E136" s="64"/>
      <c r="F136" s="9"/>
      <c r="G136" s="9"/>
      <c r="H136" s="9"/>
      <c r="I136" s="9"/>
      <c r="J136" s="9"/>
      <c r="K136" s="9">
        <v>2023</v>
      </c>
      <c r="L136" s="11"/>
      <c r="M136" s="45"/>
      <c r="N136" s="218">
        <f>+SUMIF($K$71:$K$89,$K136,N$71:N$89)/'Tx de change'!$B$4</f>
        <v>0</v>
      </c>
      <c r="O136" s="219">
        <f>+SUMIF($K$71:$K$89,$K136,O$71:O$89)/'Tx de change'!$B$4</f>
        <v>0</v>
      </c>
      <c r="P136" s="112"/>
      <c r="Q136" s="45"/>
      <c r="R136" s="45"/>
      <c r="S136" s="45"/>
      <c r="T136" s="45"/>
      <c r="U136" s="218">
        <f>+SUMIF($K$71:$K$89,$K136,U$71:U$89)/'Tx de change'!$B$2</f>
        <v>0</v>
      </c>
      <c r="V136" s="219">
        <f>+SUMIF($K$71:$K$89,$K136,V$71:V$89)/'Tx de change'!$B$2</f>
        <v>0</v>
      </c>
      <c r="W136" s="9"/>
    </row>
    <row r="137" spans="1:23" x14ac:dyDescent="0.2">
      <c r="A137" s="80"/>
      <c r="B137" s="80"/>
      <c r="C137" s="80"/>
      <c r="D137" s="80"/>
      <c r="E137" s="64"/>
      <c r="F137" s="9"/>
      <c r="G137" s="9"/>
      <c r="H137" s="9"/>
      <c r="I137" s="9"/>
      <c r="J137" s="9"/>
      <c r="K137" s="9">
        <v>2024</v>
      </c>
      <c r="L137" s="11"/>
      <c r="M137" s="45"/>
      <c r="N137" s="220">
        <f>+SUMIF($K$71:$K$89,$K137,N$71:N$89)/'Tx de change'!$B$4</f>
        <v>78429.401926679158</v>
      </c>
      <c r="O137" s="221">
        <f>+SUMIF($K$71:$K$89,$K137,O$71:O$89)/'Tx de change'!$B$4</f>
        <v>0</v>
      </c>
      <c r="P137" s="112"/>
      <c r="Q137" s="45"/>
      <c r="R137" s="45"/>
      <c r="S137" s="45"/>
      <c r="T137" s="45"/>
      <c r="U137" s="220">
        <f>+SUMIF($K$71:$K$89,$K137,U$71:U$89)/'Tx de change'!$B$2</f>
        <v>73149.229425344733</v>
      </c>
      <c r="V137" s="221">
        <f>+SUMIF($K$71:$K$89,$K137,V$71:V$89)/'Tx de change'!$B$2</f>
        <v>0</v>
      </c>
      <c r="W137" s="9"/>
    </row>
    <row r="138" spans="1:23" x14ac:dyDescent="0.2">
      <c r="A138" s="80"/>
      <c r="B138" s="80"/>
      <c r="C138" s="80"/>
      <c r="D138" s="80"/>
      <c r="E138" s="64"/>
      <c r="F138" s="9"/>
      <c r="G138" s="9"/>
      <c r="H138" s="9"/>
      <c r="I138" s="9"/>
      <c r="J138" s="9"/>
      <c r="K138" s="9">
        <v>2025</v>
      </c>
      <c r="L138" s="11"/>
      <c r="M138" s="45"/>
      <c r="N138" s="220">
        <f>+SUMIF($K$71:$K$89,$K138,N$71:N$89)/'Tx de change'!$B$4</f>
        <v>0</v>
      </c>
      <c r="O138" s="221">
        <f>+SUMIF($K$71:$K$89,$K138,O$71:O$89)/'Tx de change'!$B$4</f>
        <v>0</v>
      </c>
      <c r="P138" s="112"/>
      <c r="Q138" s="45"/>
      <c r="R138" s="45"/>
      <c r="S138" s="45"/>
      <c r="T138" s="45"/>
      <c r="U138" s="220">
        <f>+SUMIF($K$71:$K$89,$K138,U$71:U$89)/'Tx de change'!$B$2</f>
        <v>0</v>
      </c>
      <c r="V138" s="221">
        <f>+SUMIF($K$71:$K$89,$K138,V$71:V$89)/'Tx de change'!$B$2</f>
        <v>0</v>
      </c>
      <c r="W138" s="9"/>
    </row>
    <row r="139" spans="1:23" x14ac:dyDescent="0.2">
      <c r="A139" s="80"/>
      <c r="B139" s="80"/>
      <c r="C139" s="80"/>
      <c r="D139" s="80"/>
      <c r="E139" s="64"/>
      <c r="F139" s="9"/>
      <c r="G139" s="9"/>
      <c r="H139" s="9"/>
      <c r="I139" s="9"/>
      <c r="J139" s="9"/>
      <c r="K139" s="9">
        <v>2026</v>
      </c>
      <c r="L139" s="11"/>
      <c r="M139" s="45"/>
      <c r="N139" s="220">
        <f>+SUMIF($K$71:$K$89,$K139,N$71:N$89)/'Tx de change'!$B$4</f>
        <v>-12692.881990901793</v>
      </c>
      <c r="O139" s="221">
        <f>+SUMIF($K$71:$K$89,$K139,O$71:O$89)/'Tx de change'!$B$4</f>
        <v>3813219.1597538134</v>
      </c>
      <c r="P139" s="112"/>
      <c r="Q139" s="45"/>
      <c r="R139" s="45"/>
      <c r="S139" s="45"/>
      <c r="T139" s="45"/>
      <c r="U139" s="220">
        <f>+SUMIF($K$71:$K$89,$K139,U$71:U$89)/'Tx de change'!$B$2</f>
        <v>-23715.199351095027</v>
      </c>
      <c r="V139" s="221">
        <f>+SUMIF($K$71:$K$89,$K139,V$71:V$89)/'Tx de change'!$B$2</f>
        <v>0</v>
      </c>
      <c r="W139" s="9"/>
    </row>
    <row r="140" spans="1:23" x14ac:dyDescent="0.2">
      <c r="A140" s="80"/>
      <c r="B140" s="80"/>
      <c r="C140" s="80"/>
      <c r="D140" s="80"/>
      <c r="E140" s="64"/>
      <c r="F140" s="9"/>
      <c r="G140" s="9"/>
      <c r="H140" s="9"/>
      <c r="I140" s="9"/>
      <c r="J140" s="9"/>
      <c r="K140" s="9">
        <v>2027</v>
      </c>
      <c r="L140" s="11"/>
      <c r="M140" s="45"/>
      <c r="N140" s="220">
        <f>+SUMIF($K$71:$K$89,$K140,N$71:N$89)/'Tx de change'!$B$4</f>
        <v>147074.63205780037</v>
      </c>
      <c r="O140" s="221">
        <f>+SUMIF($K$71:$K$89,$K140,O$71:O$89)/'Tx de change'!$B$4</f>
        <v>9971172.0631522611</v>
      </c>
      <c r="P140" s="112"/>
      <c r="Q140" s="45"/>
      <c r="R140" s="45"/>
      <c r="S140" s="45"/>
      <c r="T140" s="45"/>
      <c r="U140" s="220">
        <f>+SUMIF($K$71:$K$89,$K140,U$71:U$89)/'Tx de change'!$B$2</f>
        <v>86713.190241467513</v>
      </c>
      <c r="V140" s="221">
        <f>+SUMIF($K$71:$K$89,$K140,V$71:V$89)/'Tx de change'!$B$2</f>
        <v>2347562.2387221563</v>
      </c>
      <c r="W140" s="9"/>
    </row>
    <row r="141" spans="1:23" x14ac:dyDescent="0.2">
      <c r="A141" s="80"/>
      <c r="B141" s="80"/>
      <c r="C141" s="80"/>
      <c r="D141" s="80"/>
      <c r="E141" s="64"/>
      <c r="F141" s="9"/>
      <c r="G141" s="9"/>
      <c r="H141" s="9"/>
      <c r="I141" s="9"/>
      <c r="J141" s="9"/>
      <c r="K141" s="9">
        <v>2028</v>
      </c>
      <c r="L141" s="11"/>
      <c r="M141" s="45"/>
      <c r="N141" s="220">
        <f>+SUMIF($K$71:$K$89,$K141,N$71:N$89)/'Tx de change'!$B$4</f>
        <v>0</v>
      </c>
      <c r="O141" s="221">
        <f>+SUMIF($K$71:$K$89,$K141,O$71:O$89)/'Tx de change'!$B$4</f>
        <v>0</v>
      </c>
      <c r="P141" s="112"/>
      <c r="Q141" s="45"/>
      <c r="R141" s="45"/>
      <c r="S141" s="45"/>
      <c r="T141" s="45"/>
      <c r="U141" s="220">
        <f>+SUMIF($K$71:$K$89,$K141,U$71:U$89)/'Tx de change'!$B$2</f>
        <v>0</v>
      </c>
      <c r="V141" s="221">
        <f>+SUMIF($K$71:$K$89,$K141,V$71:V$89)/'Tx de change'!$B$2</f>
        <v>0</v>
      </c>
      <c r="W141" s="9"/>
    </row>
    <row r="142" spans="1:23" x14ac:dyDescent="0.2">
      <c r="A142" s="80"/>
      <c r="B142" s="80"/>
      <c r="C142" s="80"/>
      <c r="D142" s="80"/>
      <c r="E142" s="64"/>
      <c r="F142" s="9"/>
      <c r="G142" s="9"/>
      <c r="H142" s="9"/>
      <c r="I142" s="9"/>
      <c r="J142" s="9"/>
      <c r="K142" s="9">
        <v>2029</v>
      </c>
      <c r="L142" s="11"/>
      <c r="M142" s="45"/>
      <c r="N142" s="220">
        <f>+SUMIF($K$71:$K$89,$K142,N$71:N$89)/'Tx de change'!$B$4</f>
        <v>57318.08937650521</v>
      </c>
      <c r="O142" s="221">
        <f>+SUMIF($K$71:$K$89,$K142,O$71:O$89)/'Tx de change'!$B$4</f>
        <v>49754377.843189724</v>
      </c>
      <c r="P142" s="112"/>
      <c r="Q142" s="45"/>
      <c r="R142" s="45"/>
      <c r="S142" s="45"/>
      <c r="T142" s="45"/>
      <c r="U142" s="220">
        <f>+SUMIF($K$71:$K$89,$K142,U$71:U$89)/'Tx de change'!$B$2</f>
        <v>-201957.82117676435</v>
      </c>
      <c r="V142" s="221">
        <f>+SUMIF($K$71:$K$89,$K142,V$71:V$89)/'Tx de change'!$B$2</f>
        <v>18353709.989392899</v>
      </c>
      <c r="W142" s="9"/>
    </row>
    <row r="143" spans="1:23" x14ac:dyDescent="0.2">
      <c r="A143" s="80"/>
      <c r="B143" s="80"/>
      <c r="C143" s="80"/>
      <c r="D143" s="80"/>
      <c r="E143" s="64"/>
      <c r="F143" s="9"/>
      <c r="G143" s="9"/>
      <c r="H143" s="9"/>
      <c r="I143" s="9"/>
      <c r="J143" s="9"/>
      <c r="K143" s="9">
        <v>2030</v>
      </c>
      <c r="L143" s="11"/>
      <c r="M143" s="45"/>
      <c r="N143" s="220">
        <f>+SUMIF($K$71:$K$89,$K143,N$71:N$89)/'Tx de change'!$B$4</f>
        <v>26502.682633128177</v>
      </c>
      <c r="O143" s="221">
        <f>+SUMIF($K$71:$K$89,$K143,O$71:O$89)/'Tx de change'!$B$4</f>
        <v>0</v>
      </c>
      <c r="P143" s="112"/>
      <c r="Q143" s="45"/>
      <c r="R143" s="45"/>
      <c r="S143" s="45"/>
      <c r="T143" s="45"/>
      <c r="U143" s="220">
        <f>+SUMIF($K$71:$K$89,$K143,U$71:U$89)/'Tx de change'!$B$2</f>
        <v>24718.418918075746</v>
      </c>
      <c r="V143" s="221">
        <f>+SUMIF($K$71:$K$89,$K143,V$71:V$89)/'Tx de change'!$B$2</f>
        <v>0</v>
      </c>
      <c r="W143" s="9"/>
    </row>
    <row r="144" spans="1:23" x14ac:dyDescent="0.2">
      <c r="A144" s="80"/>
      <c r="B144" s="80"/>
      <c r="C144" s="80"/>
      <c r="D144" s="80"/>
      <c r="E144" s="64"/>
      <c r="F144" s="9"/>
      <c r="G144" s="9"/>
      <c r="H144" s="9"/>
      <c r="I144" s="9"/>
      <c r="J144" s="9"/>
      <c r="K144" s="9">
        <v>2032</v>
      </c>
      <c r="L144" s="11"/>
      <c r="M144" s="45"/>
      <c r="N144" s="220">
        <f>+SUMIF($K$71:$K$89,$K144,N$71:N$89)/'Tx de change'!$B$4</f>
        <v>712357.75354562479</v>
      </c>
      <c r="O144" s="221">
        <f>+SUMIF($K$71:$K$89,$K144,O$71:O$89)/'Tx de change'!$B$4</f>
        <v>0</v>
      </c>
      <c r="P144" s="112"/>
      <c r="Q144" s="45"/>
      <c r="R144" s="45"/>
      <c r="S144" s="45"/>
      <c r="T144" s="45"/>
      <c r="U144" s="220">
        <f>+SUMIF($K$71:$K$89,$K144,U$71:U$89)/'Tx de change'!$B$2</f>
        <v>664399.05783989513</v>
      </c>
      <c r="V144" s="221">
        <f>+SUMIF($K$71:$K$89,$K144,V$71:V$89)/'Tx de change'!$B$2</f>
        <v>0</v>
      </c>
      <c r="W144" s="9"/>
    </row>
    <row r="145" spans="1:23" x14ac:dyDescent="0.2">
      <c r="A145" s="80"/>
      <c r="B145" s="80"/>
      <c r="C145" s="80"/>
      <c r="D145" s="80"/>
      <c r="E145" s="64"/>
      <c r="F145" s="9"/>
      <c r="G145" s="9"/>
      <c r="H145" s="9"/>
      <c r="I145" s="9"/>
      <c r="J145" s="9"/>
      <c r="K145" s="9">
        <v>2034</v>
      </c>
      <c r="L145" s="11"/>
      <c r="M145" s="45"/>
      <c r="N145" s="220">
        <f>+SUMIF($K$71:$K$89,$K145,N$71:N$89)/'Tx de change'!$B$4</f>
        <v>73236.734011238965</v>
      </c>
      <c r="O145" s="221">
        <f>+SUMIF($K$71:$K$89,$K145,O$71:O$89)/'Tx de change'!$B$4</f>
        <v>20069574.52502007</v>
      </c>
      <c r="P145" s="112"/>
      <c r="Q145" s="45"/>
      <c r="R145" s="45"/>
      <c r="S145" s="45"/>
      <c r="T145" s="45"/>
      <c r="U145" s="220">
        <f>+SUMIF($K$71:$K$89,$K145,U$71:U$89)/'Tx de change'!$B$2</f>
        <v>33611.630373744309</v>
      </c>
      <c r="V145" s="221">
        <f>+SUMIF($K$71:$K$89,$K145,V$71:V$89)/'Tx de change'!$B$2</f>
        <v>0</v>
      </c>
      <c r="W145" s="9"/>
    </row>
    <row r="146" spans="1:23" x14ac:dyDescent="0.2">
      <c r="A146" s="80"/>
      <c r="B146" s="80"/>
      <c r="C146" s="80"/>
      <c r="D146" s="80"/>
      <c r="E146" s="64"/>
      <c r="F146" s="9"/>
      <c r="G146" s="9"/>
      <c r="H146" s="9"/>
      <c r="I146" s="9"/>
      <c r="J146" s="9"/>
      <c r="K146" s="9">
        <v>2037</v>
      </c>
      <c r="L146" s="11"/>
      <c r="M146" s="45"/>
      <c r="N146" s="220">
        <f>+SUMIF($K$71:$K$89,$K146,N$71:N$89)/'Tx de change'!$B$4</f>
        <v>445863.95504415303</v>
      </c>
      <c r="O146" s="221">
        <f>+SUMIF($K$71:$K$89,$K146,O$71:O$89)/'Tx de change'!$B$4</f>
        <v>0</v>
      </c>
      <c r="P146" s="112"/>
      <c r="Q146" s="45"/>
      <c r="R146" s="45"/>
      <c r="S146" s="45"/>
      <c r="T146" s="45"/>
      <c r="U146" s="220">
        <f>+SUMIF($K$71:$K$89,$K146,U$71:U$89)/'Tx de change'!$B$2</f>
        <v>415846.65876333683</v>
      </c>
      <c r="V146" s="221">
        <f>+SUMIF($K$71:$K$89,$K146,V$71:V$89)/'Tx de change'!$B$2</f>
        <v>0</v>
      </c>
      <c r="W146" s="9"/>
    </row>
    <row r="147" spans="1:23" ht="12.75" thickBot="1" x14ac:dyDescent="0.25">
      <c r="A147" s="80"/>
      <c r="B147" s="80"/>
      <c r="C147" s="80"/>
      <c r="D147" s="80"/>
      <c r="E147" s="64"/>
      <c r="F147" s="9"/>
      <c r="G147" s="9"/>
      <c r="H147" s="9"/>
      <c r="I147" s="9"/>
      <c r="J147" s="9"/>
      <c r="K147" s="9">
        <v>2038</v>
      </c>
      <c r="L147" s="11"/>
      <c r="M147" s="45"/>
      <c r="N147" s="222">
        <f>+SUMIF($K$71:$K$89,$K147,N$71:N$89)/'Tx de change'!$B$4</f>
        <v>519372.26384800649</v>
      </c>
      <c r="O147" s="223">
        <f>+SUMIF($K$71:$K$89,$K147,O$71:O$89)/'Tx de change'!$B$4</f>
        <v>0</v>
      </c>
      <c r="P147" s="112"/>
      <c r="Q147" s="45"/>
      <c r="R147" s="45"/>
      <c r="S147" s="45"/>
      <c r="T147" s="45"/>
      <c r="U147" s="222">
        <f>+SUMIF($K$71:$K$89,$K147,U$71:U$89)/'Tx de change'!$B$2</f>
        <v>484406.10220253322</v>
      </c>
      <c r="V147" s="223">
        <f>+SUMIF($K$71:$K$89,$K147,V$71:V$89)/'Tx de change'!$B$2</f>
        <v>0</v>
      </c>
      <c r="W147" s="9"/>
    </row>
    <row r="148" spans="1:23" ht="12.75" thickBot="1" x14ac:dyDescent="0.25">
      <c r="A148" s="10"/>
      <c r="B148" s="10"/>
      <c r="C148" s="10"/>
      <c r="D148" s="10"/>
      <c r="E148" s="58" t="s">
        <v>107</v>
      </c>
      <c r="F148" s="70"/>
      <c r="G148" s="71"/>
      <c r="H148" s="72"/>
      <c r="I148" s="72"/>
      <c r="J148" s="73"/>
      <c r="K148" s="73"/>
      <c r="L148" s="74"/>
      <c r="M148" s="75"/>
      <c r="N148" s="66">
        <f>SUM(N136:N147)</f>
        <v>2047462.6304522345</v>
      </c>
      <c r="O148" s="66">
        <f>SUM(O136:O147)</f>
        <v>83608343.591115862</v>
      </c>
      <c r="P148" s="76"/>
      <c r="Q148" s="77"/>
      <c r="R148" s="77"/>
      <c r="S148" s="77"/>
      <c r="T148" s="75"/>
      <c r="U148" s="66">
        <f>SUM(U136:U147)</f>
        <v>1557171.2672365382</v>
      </c>
      <c r="V148" s="67">
        <f>SUM(V136:V147)</f>
        <v>20701272.228115056</v>
      </c>
      <c r="W148" s="52"/>
    </row>
    <row r="149" spans="1:23" x14ac:dyDescent="0.2">
      <c r="A149" s="9"/>
      <c r="B149" s="9"/>
      <c r="C149" s="9"/>
      <c r="D149" s="9"/>
      <c r="E149" s="105"/>
      <c r="F149" s="105"/>
      <c r="G149" s="105"/>
      <c r="H149" s="105"/>
      <c r="I149" s="105"/>
      <c r="J149" s="105"/>
      <c r="K149" s="105"/>
      <c r="L149" s="114"/>
      <c r="M149" s="137"/>
      <c r="N149" s="137">
        <f>+N148-N115</f>
        <v>0</v>
      </c>
      <c r="O149" s="137">
        <f>+O148-O115</f>
        <v>0</v>
      </c>
      <c r="P149" s="137"/>
      <c r="Q149" s="137"/>
      <c r="R149" s="137"/>
      <c r="S149" s="137"/>
      <c r="T149" s="137"/>
      <c r="U149" s="137">
        <f>+U148-U91</f>
        <v>0</v>
      </c>
      <c r="V149" s="137">
        <f>+V148-V91</f>
        <v>0</v>
      </c>
      <c r="W149" s="12"/>
    </row>
    <row r="150" spans="1:23" ht="12.75" thickBot="1" x14ac:dyDescent="0.25">
      <c r="F150" s="9"/>
      <c r="G150" s="9"/>
      <c r="H150" s="9"/>
      <c r="I150" s="9"/>
      <c r="J150" s="9"/>
      <c r="K150" s="9"/>
      <c r="L150" s="11"/>
      <c r="M150" s="6"/>
      <c r="N150" s="6"/>
      <c r="O150" s="11"/>
      <c r="P150" s="6"/>
      <c r="Q150" s="6"/>
      <c r="R150" s="6"/>
      <c r="S150" s="6"/>
      <c r="T150" s="6"/>
      <c r="U150" s="6"/>
      <c r="V150" s="11"/>
      <c r="W150" s="12"/>
    </row>
    <row r="151" spans="1:23" ht="15" customHeight="1" x14ac:dyDescent="0.2">
      <c r="A151" s="42"/>
      <c r="B151" s="42"/>
      <c r="C151" s="42"/>
      <c r="D151" s="42"/>
      <c r="E151" s="227" t="s">
        <v>126</v>
      </c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8"/>
      <c r="R151" s="228"/>
      <c r="S151" s="228"/>
      <c r="T151" s="228"/>
      <c r="U151" s="228"/>
      <c r="V151" s="229"/>
      <c r="W151" s="46"/>
    </row>
    <row r="152" spans="1:23" ht="24" x14ac:dyDescent="0.2">
      <c r="A152" s="81"/>
      <c r="B152" s="81"/>
      <c r="C152" s="81"/>
      <c r="D152" s="81"/>
      <c r="E152" s="4"/>
      <c r="F152" s="81"/>
      <c r="G152" s="81"/>
      <c r="H152" s="81"/>
      <c r="I152" s="81"/>
      <c r="J152" s="81"/>
      <c r="K152" s="81"/>
      <c r="L152" s="109"/>
      <c r="M152" s="53"/>
      <c r="N152" s="53" t="str">
        <f>+N7</f>
        <v>VALO
31/12/2024</v>
      </c>
      <c r="O152" s="110" t="str">
        <f>+O7</f>
        <v>NOMINAL RESIDUEL
31/12/2024</v>
      </c>
      <c r="P152" s="53" t="s">
        <v>18</v>
      </c>
      <c r="Q152" s="53" t="s">
        <v>19</v>
      </c>
      <c r="R152" s="53" t="s">
        <v>20</v>
      </c>
      <c r="S152" s="53" t="s">
        <v>21</v>
      </c>
      <c r="T152" s="53"/>
      <c r="U152" s="53" t="str">
        <f>+U7</f>
        <v>VALO
30/06/2025</v>
      </c>
      <c r="V152" s="110" t="str">
        <f>+V7</f>
        <v>NOMINAL RESIDUEL
30/06/2025</v>
      </c>
      <c r="W152" s="12"/>
    </row>
    <row r="153" spans="1:23" x14ac:dyDescent="0.2">
      <c r="A153" s="78"/>
      <c r="B153" s="78"/>
      <c r="C153" s="78"/>
      <c r="D153" s="78"/>
      <c r="E153" s="54" t="s">
        <v>99</v>
      </c>
      <c r="F153" s="9"/>
      <c r="G153" s="9"/>
      <c r="H153" s="9"/>
      <c r="I153" s="9"/>
      <c r="J153" s="9"/>
      <c r="K153" s="9"/>
      <c r="L153" s="11" t="s">
        <v>23</v>
      </c>
      <c r="M153" s="45" t="s">
        <v>48</v>
      </c>
      <c r="N153" s="45">
        <f>SUMIFS(N$9:N$64,$M$9:$M$64,$M$153,$D$9:$D$64,$L$153)</f>
        <v>1002872.19</v>
      </c>
      <c r="O153" s="55">
        <f>SUMIFS(O$9:O$64,$M$9:$M$64,$M$153,$D$9:$D$64,$L$153)</f>
        <v>122419214.28</v>
      </c>
      <c r="P153" s="45">
        <f>SUMIFS(P$9:P$64,$T$9:$T$64,$M$153,$D$9:$D$64,$L$153)</f>
        <v>0</v>
      </c>
      <c r="Q153" s="45">
        <f>SUMIFS(Q$9:Q$64,$T$9:$T$64,$M$153,$D$9:$D$64,$L$153)</f>
        <v>-581922.63000000012</v>
      </c>
      <c r="R153" s="45">
        <f>SUMIFS(R$9:R$64,$T$9:$T$64,$M$153,$D$9:$D$64,$L$153)</f>
        <v>0</v>
      </c>
      <c r="S153" s="45">
        <f>SUMIFS(S$9:S$64,$T$9:$T$64,$M$153,$D$9:$D$64,$L$153)</f>
        <v>0</v>
      </c>
      <c r="T153" s="45" t="s">
        <v>48</v>
      </c>
      <c r="U153" s="45">
        <f>SUMIFS(U$9:U$64,$T$9:$T$64,$M$153,$D$9:$D$64,$L$153)</f>
        <v>410521.56</v>
      </c>
      <c r="V153" s="55">
        <f>SUMIFS(V$9:V$64,$T$9:$T$64,$M$153,$D$9:$D$64,$L$153)</f>
        <v>117010287</v>
      </c>
      <c r="W153" s="12"/>
    </row>
    <row r="154" spans="1:23" s="3" customFormat="1" x14ac:dyDescent="0.2">
      <c r="A154" s="79"/>
      <c r="B154" s="79"/>
      <c r="C154" s="79"/>
      <c r="D154" s="79"/>
      <c r="E154" s="48" t="s">
        <v>100</v>
      </c>
      <c r="F154" s="47"/>
      <c r="G154" s="47"/>
      <c r="H154" s="47" t="s">
        <v>39</v>
      </c>
      <c r="I154" s="47"/>
      <c r="J154" s="47"/>
      <c r="K154" s="47"/>
      <c r="L154" s="108"/>
      <c r="M154" s="49"/>
      <c r="N154" s="49">
        <f t="shared" ref="N154:O156" si="91">SUMIFS(N$9:N$64,$M$9:$M$64,$M$153,$D$9:$D$64,$L$153,$H$9:$H$64,$H154)</f>
        <v>247688.39</v>
      </c>
      <c r="O154" s="51">
        <f t="shared" si="91"/>
        <v>48783390.280000001</v>
      </c>
      <c r="P154" s="49">
        <f t="shared" ref="P154:S156" si="92">SUMIFS(P$9:P$64,$T$9:$T$64,$M$153,$D$9:$D$64,$L$153,$H$9:$H$64,$H154)</f>
        <v>0</v>
      </c>
      <c r="Q154" s="49">
        <f t="shared" si="92"/>
        <v>-170148.17</v>
      </c>
      <c r="R154" s="49">
        <f t="shared" si="92"/>
        <v>0</v>
      </c>
      <c r="S154" s="49">
        <f t="shared" si="92"/>
        <v>0</v>
      </c>
      <c r="T154" s="49"/>
      <c r="U154" s="49">
        <f t="shared" ref="U154:V156" si="93">SUMIFS(U$9:U$64,$T$9:$T$64,$M$153,$D$9:$D$64,$L$153,$H$9:$H$64,$H154)</f>
        <v>77540.22</v>
      </c>
      <c r="V154" s="51">
        <f t="shared" si="93"/>
        <v>55296787</v>
      </c>
      <c r="W154" s="12"/>
    </row>
    <row r="155" spans="1:23" s="3" customFormat="1" x14ac:dyDescent="0.2">
      <c r="A155" s="79"/>
      <c r="B155" s="79"/>
      <c r="C155" s="79"/>
      <c r="D155" s="79"/>
      <c r="E155" s="48" t="s">
        <v>120</v>
      </c>
      <c r="F155" s="47"/>
      <c r="G155" s="47"/>
      <c r="H155" s="47" t="s">
        <v>34</v>
      </c>
      <c r="I155" s="47"/>
      <c r="J155" s="47"/>
      <c r="K155" s="47"/>
      <c r="L155" s="108"/>
      <c r="M155" s="49"/>
      <c r="N155" s="49">
        <f t="shared" si="91"/>
        <v>0</v>
      </c>
      <c r="O155" s="51">
        <f t="shared" si="91"/>
        <v>0</v>
      </c>
      <c r="P155" s="49">
        <f t="shared" si="92"/>
        <v>0</v>
      </c>
      <c r="Q155" s="49">
        <f t="shared" si="92"/>
        <v>0</v>
      </c>
      <c r="R155" s="49">
        <f t="shared" si="92"/>
        <v>0</v>
      </c>
      <c r="S155" s="49">
        <f t="shared" si="92"/>
        <v>0</v>
      </c>
      <c r="T155" s="49"/>
      <c r="U155" s="49">
        <f t="shared" si="93"/>
        <v>0</v>
      </c>
      <c r="V155" s="51">
        <f t="shared" si="93"/>
        <v>0</v>
      </c>
      <c r="W155" s="12"/>
    </row>
    <row r="156" spans="1:23" s="3" customFormat="1" x14ac:dyDescent="0.2">
      <c r="A156" s="79"/>
      <c r="B156" s="79"/>
      <c r="C156" s="79"/>
      <c r="D156" s="79"/>
      <c r="E156" s="48" t="s">
        <v>101</v>
      </c>
      <c r="F156" s="47"/>
      <c r="G156" s="47"/>
      <c r="H156" s="47" t="s">
        <v>26</v>
      </c>
      <c r="I156" s="47"/>
      <c r="J156" s="47"/>
      <c r="K156" s="47"/>
      <c r="L156" s="108"/>
      <c r="M156" s="49"/>
      <c r="N156" s="49">
        <f t="shared" si="91"/>
        <v>755183.79999999993</v>
      </c>
      <c r="O156" s="51">
        <f t="shared" si="91"/>
        <v>73635824</v>
      </c>
      <c r="P156" s="49">
        <f t="shared" si="92"/>
        <v>0</v>
      </c>
      <c r="Q156" s="49">
        <f t="shared" si="92"/>
        <v>-411774.46</v>
      </c>
      <c r="R156" s="49">
        <f t="shared" si="92"/>
        <v>0</v>
      </c>
      <c r="S156" s="49">
        <f t="shared" si="92"/>
        <v>0</v>
      </c>
      <c r="T156" s="49"/>
      <c r="U156" s="49">
        <f t="shared" si="93"/>
        <v>332981.33999999997</v>
      </c>
      <c r="V156" s="51">
        <f t="shared" si="93"/>
        <v>61713500</v>
      </c>
      <c r="W156" s="12"/>
    </row>
    <row r="157" spans="1:23" x14ac:dyDescent="0.2">
      <c r="A157" s="9"/>
      <c r="B157" s="9"/>
      <c r="C157" s="9"/>
      <c r="D157" s="9"/>
      <c r="E157" s="56" t="s">
        <v>102</v>
      </c>
      <c r="F157" s="9"/>
      <c r="G157" s="9"/>
      <c r="H157" s="9"/>
      <c r="I157" s="9"/>
      <c r="J157" s="9"/>
      <c r="K157" s="9"/>
      <c r="L157" s="11" t="s">
        <v>23</v>
      </c>
      <c r="M157" s="45" t="s">
        <v>103</v>
      </c>
      <c r="N157" s="45">
        <f>SUMIFS(N$9:N$64,$M$9:$M$64,$M$157,$D$9:$D$64,$L$157)</f>
        <v>-3605978.81</v>
      </c>
      <c r="O157" s="55">
        <f>SUMIFS(O$9:O$64,$M$9:$M$64,$M$157,$D$9:$D$64,$L$157)</f>
        <v>137338802</v>
      </c>
      <c r="P157" s="45">
        <f>SUMIFS(P$9:P$64,$T$9:$T$64,$M$157,$D$9:$D$64,$L$157)</f>
        <v>0</v>
      </c>
      <c r="Q157" s="45">
        <f>SUMIFS(Q$9:Q$64,$T$9:$T$64,$M$157,$D$9:$D$64,$L$157)</f>
        <v>197877.29000000007</v>
      </c>
      <c r="R157" s="45">
        <f>SUMIFS(R$9:R$64,$T$9:$T$64,$M$157,$D$9:$D$64,$L$157)</f>
        <v>0</v>
      </c>
      <c r="S157" s="45">
        <f>SUMIFS(S$9:S$64,$T$9:$T$64,$M$157,$D$9:$D$64,$L$157)</f>
        <v>0</v>
      </c>
      <c r="T157" s="45" t="s">
        <v>103</v>
      </c>
      <c r="U157" s="45">
        <f>SUMIFS(U$9:U$64,$T$9:$T$64,$M$157,$D$9:$D$64,$L$157)</f>
        <v>-3397673.5199999996</v>
      </c>
      <c r="V157" s="55">
        <f>SUMIFS(V$9:V$64,$T$9:$T$64,$M$157,$D$9:$D$64,$L$157)</f>
        <v>160313821</v>
      </c>
      <c r="W157" s="12"/>
    </row>
    <row r="158" spans="1:23" s="3" customFormat="1" x14ac:dyDescent="0.2">
      <c r="A158" s="79"/>
      <c r="B158" s="79"/>
      <c r="C158" s="79"/>
      <c r="D158" s="79"/>
      <c r="E158" s="48" t="s">
        <v>100</v>
      </c>
      <c r="F158" s="47"/>
      <c r="G158" s="47"/>
      <c r="H158" s="47" t="s">
        <v>39</v>
      </c>
      <c r="I158" s="47"/>
      <c r="J158" s="47"/>
      <c r="K158" s="47"/>
      <c r="L158" s="108"/>
      <c r="M158" s="49"/>
      <c r="N158" s="49">
        <f t="shared" ref="N158:O160" si="94">SUMIFS(N$9:N$64,$M$9:$M$64,$M$157,$D$9:$D$64,$L$157,$H$9:$H$64,$H158)</f>
        <v>-1693443.1</v>
      </c>
      <c r="O158" s="51">
        <f t="shared" si="94"/>
        <v>42732782</v>
      </c>
      <c r="P158" s="49">
        <f t="shared" ref="P158:S160" si="95">SUMIFS(P$9:P$64,$T$9:$T$64,$M$157,$D$9:$D$64,$L$157,$H$9:$H$64,$H158)</f>
        <v>0</v>
      </c>
      <c r="Q158" s="49">
        <f t="shared" si="95"/>
        <v>28558.830000000075</v>
      </c>
      <c r="R158" s="49">
        <f t="shared" si="95"/>
        <v>0</v>
      </c>
      <c r="S158" s="49">
        <f t="shared" si="95"/>
        <v>0</v>
      </c>
      <c r="T158" s="49"/>
      <c r="U158" s="49">
        <f t="shared" ref="U158:V160" si="96">SUMIFS(U$9:U$64,$T$9:$T$64,$M$157,$D$9:$D$64,$L$157,$H$9:$H$64,$H158)</f>
        <v>-1664884.27</v>
      </c>
      <c r="V158" s="51">
        <f t="shared" si="96"/>
        <v>52407801</v>
      </c>
      <c r="W158" s="12"/>
    </row>
    <row r="159" spans="1:23" s="3" customFormat="1" x14ac:dyDescent="0.2">
      <c r="A159" s="79"/>
      <c r="B159" s="79"/>
      <c r="C159" s="79"/>
      <c r="D159" s="79"/>
      <c r="E159" s="48" t="s">
        <v>120</v>
      </c>
      <c r="F159" s="47"/>
      <c r="G159" s="47"/>
      <c r="H159" s="47" t="s">
        <v>34</v>
      </c>
      <c r="I159" s="47"/>
      <c r="J159" s="47"/>
      <c r="K159" s="47"/>
      <c r="L159" s="108"/>
      <c r="M159" s="49"/>
      <c r="N159" s="49">
        <f t="shared" si="94"/>
        <v>-1106381.19</v>
      </c>
      <c r="O159" s="51">
        <f t="shared" si="94"/>
        <v>39637520</v>
      </c>
      <c r="P159" s="49">
        <f t="shared" si="95"/>
        <v>0</v>
      </c>
      <c r="Q159" s="49">
        <f t="shared" si="95"/>
        <v>110353.74000000002</v>
      </c>
      <c r="R159" s="49">
        <f t="shared" si="95"/>
        <v>0</v>
      </c>
      <c r="S159" s="49">
        <f t="shared" si="95"/>
        <v>0</v>
      </c>
      <c r="T159" s="49"/>
      <c r="U159" s="49">
        <f t="shared" si="96"/>
        <v>-996027.45</v>
      </c>
      <c r="V159" s="51">
        <f t="shared" si="96"/>
        <v>41437520</v>
      </c>
      <c r="W159" s="12"/>
    </row>
    <row r="160" spans="1:23" s="3" customFormat="1" ht="12.75" thickBot="1" x14ac:dyDescent="0.25">
      <c r="A160" s="79"/>
      <c r="B160" s="79"/>
      <c r="C160" s="79"/>
      <c r="D160" s="79"/>
      <c r="E160" s="48" t="s">
        <v>101</v>
      </c>
      <c r="F160" s="47"/>
      <c r="G160" s="47"/>
      <c r="H160" s="50" t="s">
        <v>26</v>
      </c>
      <c r="I160" s="47"/>
      <c r="J160" s="47"/>
      <c r="K160" s="47"/>
      <c r="L160" s="108"/>
      <c r="M160" s="49"/>
      <c r="N160" s="49">
        <f t="shared" si="94"/>
        <v>-806154.52</v>
      </c>
      <c r="O160" s="57">
        <f t="shared" si="94"/>
        <v>54968500</v>
      </c>
      <c r="P160" s="49">
        <f t="shared" si="95"/>
        <v>0</v>
      </c>
      <c r="Q160" s="49">
        <f t="shared" si="95"/>
        <v>58964.72</v>
      </c>
      <c r="R160" s="49">
        <f t="shared" si="95"/>
        <v>0</v>
      </c>
      <c r="S160" s="49">
        <f t="shared" si="95"/>
        <v>0</v>
      </c>
      <c r="T160" s="49"/>
      <c r="U160" s="49">
        <f t="shared" si="96"/>
        <v>-736761.8</v>
      </c>
      <c r="V160" s="57">
        <f t="shared" si="96"/>
        <v>66468500</v>
      </c>
      <c r="W160" s="12"/>
    </row>
    <row r="161" spans="1:23" ht="12.75" thickBot="1" x14ac:dyDescent="0.25">
      <c r="A161" s="10"/>
      <c r="B161" s="10"/>
      <c r="C161" s="10"/>
      <c r="D161" s="10"/>
      <c r="E161" s="58" t="s">
        <v>104</v>
      </c>
      <c r="F161" s="59"/>
      <c r="G161" s="59"/>
      <c r="H161" s="59"/>
      <c r="I161" s="59"/>
      <c r="J161" s="59"/>
      <c r="K161" s="59"/>
      <c r="L161" s="60"/>
      <c r="M161" s="61"/>
      <c r="N161" s="61">
        <f>+N153+N157</f>
        <v>-2603106.62</v>
      </c>
      <c r="O161" s="62">
        <f t="shared" ref="O161:V161" si="97">+O153+O157</f>
        <v>259758016.28</v>
      </c>
      <c r="P161" s="61">
        <f t="shared" si="97"/>
        <v>0</v>
      </c>
      <c r="Q161" s="61">
        <f t="shared" si="97"/>
        <v>-384045.34000000008</v>
      </c>
      <c r="R161" s="61">
        <f t="shared" si="97"/>
        <v>0</v>
      </c>
      <c r="S161" s="61">
        <f t="shared" si="97"/>
        <v>0</v>
      </c>
      <c r="T161" s="61"/>
      <c r="U161" s="61">
        <f t="shared" si="97"/>
        <v>-2987151.9599999995</v>
      </c>
      <c r="V161" s="62">
        <f t="shared" si="97"/>
        <v>277324108</v>
      </c>
      <c r="W161" s="12"/>
    </row>
    <row r="162" spans="1:23" s="1" customFormat="1" x14ac:dyDescent="0.2">
      <c r="A162" s="105"/>
      <c r="B162" s="105"/>
      <c r="C162" s="105"/>
      <c r="D162" s="105"/>
      <c r="E162" s="113"/>
      <c r="F162" s="105"/>
      <c r="G162" s="105"/>
      <c r="H162" s="105"/>
      <c r="I162" s="105"/>
      <c r="J162" s="105"/>
      <c r="K162" s="105"/>
      <c r="L162" s="114"/>
      <c r="M162" s="114"/>
      <c r="N162" s="115">
        <f t="shared" ref="N162:V162" si="98">+N161-N67</f>
        <v>0</v>
      </c>
      <c r="O162" s="121">
        <f t="shared" si="98"/>
        <v>0</v>
      </c>
      <c r="P162" s="115">
        <f t="shared" si="98"/>
        <v>0</v>
      </c>
      <c r="Q162" s="115">
        <f t="shared" si="98"/>
        <v>0</v>
      </c>
      <c r="R162" s="115">
        <f t="shared" si="98"/>
        <v>0</v>
      </c>
      <c r="S162" s="115">
        <f t="shared" si="98"/>
        <v>0</v>
      </c>
      <c r="T162" s="114">
        <f t="shared" si="98"/>
        <v>0</v>
      </c>
      <c r="U162" s="115">
        <f t="shared" si="98"/>
        <v>0</v>
      </c>
      <c r="V162" s="121">
        <f t="shared" si="98"/>
        <v>0</v>
      </c>
      <c r="W162" s="116"/>
    </row>
    <row r="163" spans="1:23" x14ac:dyDescent="0.2">
      <c r="A163" s="78"/>
      <c r="B163" s="78"/>
      <c r="C163" s="78"/>
      <c r="D163" s="78"/>
      <c r="E163" s="54" t="s">
        <v>105</v>
      </c>
      <c r="F163" s="9"/>
      <c r="G163" s="9"/>
      <c r="H163" s="9"/>
      <c r="I163" s="9"/>
      <c r="J163" s="9"/>
      <c r="K163" s="9"/>
      <c r="L163" s="11" t="s">
        <v>23</v>
      </c>
      <c r="M163" s="45" t="s">
        <v>48</v>
      </c>
      <c r="N163" s="45">
        <f>SUMIFS(N$71:N$89,$M$71:$M$89,$M$163,$D$71:$D$89,$L$163)/'Tx de change'!$B$4</f>
        <v>2410459.0446882527</v>
      </c>
      <c r="O163" s="55">
        <f>SUMIFS(O$71:O$89,$M$71:$M$89,$M$163,$D$71:$D$89,$L$163)/'Tx de change'!$B$4</f>
        <v>39963525.555258229</v>
      </c>
      <c r="P163" s="45">
        <f>SUMIFS(P$71:P$89,$T$71:$T$89,$M$163,$D$71:$D$89,$L$163)/'Tx de change'!$B$3</f>
        <v>-152431.7613354495</v>
      </c>
      <c r="Q163" s="45">
        <f>SUMIFS(Q$71:Q$89,$T$71:$T$89,$M$163,$D$71:$D$89,$L$163)/'Tx de change'!$B$3</f>
        <v>0</v>
      </c>
      <c r="R163" s="45">
        <f>SUMIFS(R$71:R$89,$T$71:$T$89,$M$163,$D$71:$D$89,$L$163)/'Tx de change'!$B$3</f>
        <v>0</v>
      </c>
      <c r="S163" s="45">
        <f>+U163-(N163+Q163)</f>
        <v>-308753.31061450252</v>
      </c>
      <c r="T163" s="45" t="s">
        <v>48</v>
      </c>
      <c r="U163" s="45">
        <f>SUMIFS(U$71:U$89,$T$71:$T$89,$M$163,$D$71:$D$89,$L$163)/'Tx de change'!$B$2</f>
        <v>2101705.7340737502</v>
      </c>
      <c r="V163" s="55">
        <f>SUMIFS(V$71:V$89,$T$71:$T$89,$M$163,$D$71:$D$89,$L$163)/'Tx de change'!$B$2</f>
        <v>18353709.989392899</v>
      </c>
      <c r="W163" s="12"/>
    </row>
    <row r="164" spans="1:23" s="3" customFormat="1" x14ac:dyDescent="0.2">
      <c r="A164" s="79"/>
      <c r="B164" s="79"/>
      <c r="C164" s="79"/>
      <c r="D164" s="79"/>
      <c r="E164" s="48" t="s">
        <v>100</v>
      </c>
      <c r="F164" s="47"/>
      <c r="G164" s="47"/>
      <c r="H164" s="47" t="s">
        <v>39</v>
      </c>
      <c r="I164" s="47"/>
      <c r="J164" s="47"/>
      <c r="K164" s="47"/>
      <c r="L164" s="108"/>
      <c r="M164" s="49"/>
      <c r="N164" s="49">
        <f>SUMIFS(N$71:N$89,$M$71:$M$89,$M$163,$D$71:$D$89,$L$163,$H$71:$H$89,$H164)/'Tx de change'!$B$4</f>
        <v>2410459.0446882527</v>
      </c>
      <c r="O164" s="51">
        <f>SUMIFS(O$71:O$89,$M$71:$M$89,$M$163,$D$71:$D$89,$L$163,$H$71:$H$89,$H164)/'Tx de change'!$B$4</f>
        <v>39963525.555258229</v>
      </c>
      <c r="P164" s="49">
        <f>SUMIFS(P$71:P$89,$T$71:$T$89,$M$163,$D$71:$D$89,$L$163,$H$71:$H$89,$H164)/'Tx de change'!$B$3</f>
        <v>-152431.7613354495</v>
      </c>
      <c r="Q164" s="49">
        <f>SUMIFS(Q$71:Q$89,$T$71:$T$89,$M$163,$D$71:$D$89,$L$163,$H$71:$H$89,$H164)/'Tx de change'!$B$3</f>
        <v>0</v>
      </c>
      <c r="R164" s="49">
        <f>SUMIFS(R$71:R$89,$T$71:$T$89,$M$163,$D$71:$D$89,$L$163,$H$71:$H$89,$H164)/'Tx de change'!$B$3</f>
        <v>0</v>
      </c>
      <c r="S164" s="49">
        <f t="shared" ref="S164:S166" si="99">+U164-(N164+Q164)</f>
        <v>-308753.31061450252</v>
      </c>
      <c r="T164" s="49"/>
      <c r="U164" s="49">
        <f>SUMIFS(U$71:U$89,$T$71:$T$89,$M$163,$D$71:$D$89,$L$163,$H$71:$H$89,$H164)/'Tx de change'!$B$2</f>
        <v>2101705.7340737502</v>
      </c>
      <c r="V164" s="51">
        <f>SUMIFS(V$71:V$89,$T$71:$T$89,$M$163,$D$71:$D$89,$L$163,$H$71:$H$89,$H164)/'Tx de change'!$B$2</f>
        <v>18353709.989392899</v>
      </c>
      <c r="W164" s="12"/>
    </row>
    <row r="165" spans="1:23" s="3" customFormat="1" x14ac:dyDescent="0.2">
      <c r="A165" s="79"/>
      <c r="B165" s="79"/>
      <c r="C165" s="79"/>
      <c r="D165" s="79"/>
      <c r="E165" s="48" t="s">
        <v>120</v>
      </c>
      <c r="F165" s="47"/>
      <c r="G165" s="47"/>
      <c r="H165" s="47" t="s">
        <v>34</v>
      </c>
      <c r="I165" s="47"/>
      <c r="J165" s="47"/>
      <c r="K165" s="47"/>
      <c r="L165" s="108"/>
      <c r="M165" s="49"/>
      <c r="N165" s="49">
        <f>SUMIFS(N$71:N$89,$M$71:$M$89,$M$163,$D$71:$D$89,$L$163,$H$71:$H$89,$H165)/'Tx de change'!$B$4</f>
        <v>0</v>
      </c>
      <c r="O165" s="51">
        <f>SUMIFS(O$71:O$89,$M$71:$M$89,$M$163,$D$71:$D$89,$L$163,$H$71:$H$89,$H165)/'Tx de change'!$B$4</f>
        <v>0</v>
      </c>
      <c r="P165" s="49">
        <f>SUMIFS(P$71:P$89,$T$71:$T$89,$M$163,$D$71:$D$89,$L$163,$H$71:$H$89,$H165)/'Tx de change'!$B$3</f>
        <v>0</v>
      </c>
      <c r="Q165" s="49">
        <f>SUMIFS(Q$71:Q$89,$T$71:$T$89,$M$163,$D$71:$D$89,$L$163,$H$71:$H$89,$H165)/'Tx de change'!$B$3</f>
        <v>0</v>
      </c>
      <c r="R165" s="49">
        <f>SUMIFS(R$71:R$89,$T$71:$T$89,$M$163,$D$71:$D$89,$L$163,$H$71:$H$89,$H165)/'Tx de change'!$B$3</f>
        <v>0</v>
      </c>
      <c r="S165" s="49"/>
      <c r="T165" s="49"/>
      <c r="U165" s="49">
        <f>SUMIFS(U$71:U$89,$T$71:$T$89,$M$163,$D$71:$D$89,$L$163,$H$71:$H$89,$H165)/'Tx de change'!$B$2</f>
        <v>0</v>
      </c>
      <c r="V165" s="51">
        <f>SUMIFS(V$71:V$89,$T$71:$T$89,$M$163,$D$71:$D$89,$L$163,$H$71:$H$89,$H165)/'Tx de change'!$B$2</f>
        <v>0</v>
      </c>
      <c r="W165" s="12"/>
    </row>
    <row r="166" spans="1:23" s="3" customFormat="1" x14ac:dyDescent="0.2">
      <c r="A166" s="79"/>
      <c r="B166" s="79"/>
      <c r="C166" s="79"/>
      <c r="D166" s="79"/>
      <c r="E166" s="48" t="s">
        <v>101</v>
      </c>
      <c r="F166" s="47"/>
      <c r="G166" s="47"/>
      <c r="H166" s="47" t="s">
        <v>26</v>
      </c>
      <c r="I166" s="47"/>
      <c r="J166" s="47"/>
      <c r="K166" s="47"/>
      <c r="L166" s="108"/>
      <c r="M166" s="49"/>
      <c r="N166" s="49">
        <f>SUMIFS(N$71:N$89,$M$71:$M$89,$M$163,$D$71:$D$89,$L$163,$H$71:$H$89,$H166)/'Tx de change'!$B$4</f>
        <v>0</v>
      </c>
      <c r="O166" s="51">
        <f>SUMIFS(O$71:O$89,$M$71:$M$89,$M$163,$D$71:$D$89,$L$163,$H$71:$H$89,$H166)/'Tx de change'!$B$4</f>
        <v>0</v>
      </c>
      <c r="P166" s="49">
        <f>SUMIFS(P$71:P$89,$T$71:$T$89,$M$163,$D$71:$D$89,$L$163,$H$71:$H$89,$H166)/'Tx de change'!$B$3</f>
        <v>0</v>
      </c>
      <c r="Q166" s="49">
        <f>SUMIFS(Q$71:Q$89,$T$71:$T$89,$M$163,$D$71:$D$89,$L$163,$H$71:$H$89,$H166)/'Tx de change'!$B$3</f>
        <v>0</v>
      </c>
      <c r="R166" s="49">
        <f>SUMIFS(R$71:R$89,$T$71:$T$89,$M$163,$D$71:$D$89,$L$163,$H$71:$H$89,$H166)/'Tx de change'!$B$3</f>
        <v>0</v>
      </c>
      <c r="S166" s="49">
        <f t="shared" si="99"/>
        <v>0</v>
      </c>
      <c r="T166" s="49"/>
      <c r="U166" s="49">
        <f>SUMIFS(U$71:U$89,$T$71:$T$89,$M$163,$D$71:$D$89,$L$163,$H$71:$H$89,$H166)/'Tx de change'!$B$2</f>
        <v>0</v>
      </c>
      <c r="V166" s="51">
        <f>SUMIFS(V$71:V$89,$T$71:$T$89,$M$163,$D$71:$D$89,$L$163,$H$71:$H$89,$H166)/'Tx de change'!$B$2</f>
        <v>0</v>
      </c>
      <c r="W166" s="12"/>
    </row>
    <row r="167" spans="1:23" x14ac:dyDescent="0.2">
      <c r="A167" s="9"/>
      <c r="B167" s="9"/>
      <c r="C167" s="9"/>
      <c r="D167" s="9"/>
      <c r="E167" s="56" t="s">
        <v>106</v>
      </c>
      <c r="F167" s="9"/>
      <c r="G167" s="9"/>
      <c r="H167" s="9"/>
      <c r="I167" s="9"/>
      <c r="J167" s="9"/>
      <c r="K167" s="9"/>
      <c r="L167" s="11" t="s">
        <v>23</v>
      </c>
      <c r="M167" s="45" t="s">
        <v>103</v>
      </c>
      <c r="N167" s="45">
        <f>SUMIFS(N$71:N$89,$M$71:$M$89,$M$167,$D$71:$D$89,$L$167)/'Tx de change'!$B$4</f>
        <v>-362996.41423601814</v>
      </c>
      <c r="O167" s="55">
        <f>SUMIFS(O$71:O$89,$M$71:$M$89,$M$167,$D$71:$D$89,$L$167)/'Tx de change'!$B$4</f>
        <v>43644818.03585764</v>
      </c>
      <c r="P167" s="45">
        <f>SUMIFS(P$71:P$89,$T$71:$T$89,$M$167,$D$71:$D$89,$L$167)/'Tx de change'!$B$2</f>
        <v>-205976.38360267048</v>
      </c>
      <c r="Q167" s="45">
        <f>SUMIFS(Q$71:Q$89,$T$71:$T$89,$M$167,$D$71:$D$89,$L$167)/'Tx de change'!$B$2</f>
        <v>0</v>
      </c>
      <c r="R167" s="45">
        <f>SUMIFS(R$71:R$89,$T$71:$T$89,$M$167,$D$71:$D$89,$L$167)/'Tx de change'!$B$2</f>
        <v>0</v>
      </c>
      <c r="S167" s="45">
        <f>+U167-(N167+Q167)</f>
        <v>-181538.05260119407</v>
      </c>
      <c r="T167" s="45" t="s">
        <v>103</v>
      </c>
      <c r="U167" s="45">
        <f>SUMIFS(U$71:U$89,$T$71:$T$89,$M$167,$D$71:$D$89,$L$167)/'Tx de change'!$B$2</f>
        <v>-544534.46683721221</v>
      </c>
      <c r="V167" s="55">
        <f>SUMIFS(V$71:V$89,$T$71:$T$89,$M$167,$D$71:$D$89,$L$167)/'Tx de change'!$B$2</f>
        <v>2347562.2387221563</v>
      </c>
      <c r="W167" s="12"/>
    </row>
    <row r="168" spans="1:23" s="3" customFormat="1" x14ac:dyDescent="0.2">
      <c r="A168" s="79"/>
      <c r="B168" s="79"/>
      <c r="C168" s="79"/>
      <c r="D168" s="79"/>
      <c r="E168" s="48" t="s">
        <v>100</v>
      </c>
      <c r="F168" s="47"/>
      <c r="G168" s="47"/>
      <c r="H168" s="47" t="s">
        <v>39</v>
      </c>
      <c r="I168" s="47"/>
      <c r="J168" s="47"/>
      <c r="K168" s="47"/>
      <c r="L168" s="108"/>
      <c r="M168" s="49"/>
      <c r="N168" s="49">
        <f>SUMIFS(N$71:N$89,$M$71:$M$89,$M$167,$D$71:$D$89,$L$167,$H$71:$H$89,$H168)/'Tx de change'!$B$4</f>
        <v>-362996.41423601814</v>
      </c>
      <c r="O168" s="51">
        <f>SUMIFS(O$71:O$89,$M$71:$M$89,$M$167,$D$71:$D$89,$L$167,$H$71:$H$89,$H168)/'Tx de change'!$B$4</f>
        <v>43644818.03585764</v>
      </c>
      <c r="P168" s="49">
        <f>SUMIFS(P$71:P$89,$T$71:$T$89,$M$167,$D$71:$D$89,$L$167,$H$71:$H$89,$H168)/'Tx de change'!$B$2</f>
        <v>-205976.38360267048</v>
      </c>
      <c r="Q168" s="49">
        <f>SUMIFS(Q$71:Q$89,$T$71:$T$89,$M$167,$D$71:$D$89,$L$167,$H$71:$H$89,$H168)/'Tx de change'!$B$2</f>
        <v>0</v>
      </c>
      <c r="R168" s="49">
        <f>SUMIFS(R$71:R$89,$T$71:$T$89,$M$167,$D$71:$D$89,$L$167,$H$71:$H$89,$H168)/'Tx de change'!$B$2</f>
        <v>0</v>
      </c>
      <c r="S168" s="49">
        <f t="shared" ref="S168:S170" si="100">+U168-(N168+Q168)</f>
        <v>-181538.05260119407</v>
      </c>
      <c r="T168" s="49"/>
      <c r="U168" s="49">
        <f>SUMIFS(U$71:U$89,$T$71:$T$89,$M$167,$D$71:$D$89,$L$167,$H$71:$H$89,$H168)/'Tx de change'!$B$2</f>
        <v>-544534.46683721221</v>
      </c>
      <c r="V168" s="51">
        <f>SUMIFS(V$71:V$89,$T$71:$T$89,$M$167,$D$71:$D$89,$L$167,$H$71:$H$89,$H168)/'Tx de change'!$B$2</f>
        <v>2347562.2387221563</v>
      </c>
      <c r="W168" s="12"/>
    </row>
    <row r="169" spans="1:23" s="3" customFormat="1" x14ac:dyDescent="0.2">
      <c r="A169" s="79"/>
      <c r="B169" s="79"/>
      <c r="C169" s="79"/>
      <c r="D169" s="79"/>
      <c r="E169" s="48" t="s">
        <v>120</v>
      </c>
      <c r="F169" s="47"/>
      <c r="G169" s="47"/>
      <c r="H169" s="47" t="s">
        <v>34</v>
      </c>
      <c r="I169" s="47"/>
      <c r="J169" s="47"/>
      <c r="K169" s="47"/>
      <c r="L169" s="108"/>
      <c r="M169" s="49"/>
      <c r="N169" s="49">
        <f>SUMIFS(N$71:N$89,$M$71:$M$89,$M$167,$D$71:$D$89,$L$167,$H$71:$H$89,$H169)/'Tx de change'!$B$4</f>
        <v>0</v>
      </c>
      <c r="O169" s="51">
        <f>SUMIFS(O$71:O$89,$M$71:$M$89,$M$167,$D$71:$D$89,$L$167,$H$71:$H$89,$H169)/'Tx de change'!$B$4</f>
        <v>0</v>
      </c>
      <c r="P169" s="49">
        <f>SUMIFS(P$71:P$89,$T$71:$T$89,$M$167,$D$71:$D$89,$L$167,$H$71:$H$89,$H169)/'Tx de change'!$B$2</f>
        <v>0</v>
      </c>
      <c r="Q169" s="49">
        <f>SUMIFS(Q$71:Q$89,$T$71:$T$89,$M$167,$D$71:$D$89,$L$167,$H$71:$H$89,$H169)/'Tx de change'!$B$2</f>
        <v>0</v>
      </c>
      <c r="R169" s="49">
        <f>SUMIFS(R$71:R$89,$T$71:$T$89,$M$167,$D$71:$D$89,$L$167,$H$71:$H$89,$H169)/'Tx de change'!$B$2</f>
        <v>0</v>
      </c>
      <c r="S169" s="49"/>
      <c r="T169" s="49"/>
      <c r="U169" s="49">
        <f>SUMIFS(U$71:U$89,$T$71:$T$89,$M$167,$D$71:$D$89,$L$167,$H$71:$H$89,$H169)/'Tx de change'!$B$2</f>
        <v>0</v>
      </c>
      <c r="V169" s="51">
        <f>SUMIFS(V$71:V$89,$T$71:$T$89,$M$167,$D$71:$D$89,$L$167,$H$71:$H$89,$H169)/'Tx de change'!$B$2</f>
        <v>0</v>
      </c>
      <c r="W169" s="12"/>
    </row>
    <row r="170" spans="1:23" s="3" customFormat="1" ht="12.75" thickBot="1" x14ac:dyDescent="0.25">
      <c r="A170" s="79"/>
      <c r="B170" s="79"/>
      <c r="C170" s="79"/>
      <c r="D170" s="79"/>
      <c r="E170" s="48" t="s">
        <v>101</v>
      </c>
      <c r="F170" s="47"/>
      <c r="G170" s="47"/>
      <c r="H170" s="47" t="s">
        <v>26</v>
      </c>
      <c r="I170" s="47"/>
      <c r="J170" s="47"/>
      <c r="K170" s="47"/>
      <c r="L170" s="108"/>
      <c r="M170" s="49"/>
      <c r="N170" s="49">
        <f>SUMIFS(N$71:N$89,$M$71:$M$89,$M$167,$D$71:$D$89,$L$167,$H$71:$H$89,$H170)/'Tx de change'!$B$4</f>
        <v>0</v>
      </c>
      <c r="O170" s="57">
        <f>SUMIFS(O$71:O$89,$M$71:$M$89,$M$167,$D$71:$D$89,$L$167,$H$71:$H$89,$H170)/'Tx de change'!$B$4</f>
        <v>0</v>
      </c>
      <c r="P170" s="49">
        <f>SUMIFS(P$71:P$89,$T$71:$T$89,$M$167,$D$71:$D$89,$L$167,$H$71:$H$89,$H170)/'Tx de change'!$B$2</f>
        <v>0</v>
      </c>
      <c r="Q170" s="49">
        <f>SUMIFS(Q$71:Q$89,$T$71:$T$89,$M$167,$D$71:$D$89,$L$167,$H$71:$H$89,$H170)/'Tx de change'!$B$2</f>
        <v>0</v>
      </c>
      <c r="R170" s="49">
        <f>SUMIFS(R$71:R$89,$T$71:$T$89,$M$167,$D$71:$D$89,$L$167,$H$71:$H$89,$H170)/'Tx de change'!$B$2</f>
        <v>0</v>
      </c>
      <c r="S170" s="49">
        <f t="shared" si="100"/>
        <v>0</v>
      </c>
      <c r="T170" s="49"/>
      <c r="U170" s="49">
        <f>SUMIFS(U$71:U$89,$T$71:$T$89,$M$167,$D$71:$D$89,$L$167,$H$71:$H$89,$H170)/'Tx de change'!$B$2</f>
        <v>0</v>
      </c>
      <c r="V170" s="51">
        <f>SUMIFS(V$71:V$89,$T$71:$T$89,$M$167,$D$71:$D$89,$L$167,$H$71:$H$89,$H170)/'Tx de change'!$B$2</f>
        <v>0</v>
      </c>
      <c r="W170" s="12"/>
    </row>
    <row r="171" spans="1:23" ht="12.75" thickBot="1" x14ac:dyDescent="0.25">
      <c r="A171" s="10"/>
      <c r="B171" s="10"/>
      <c r="C171" s="10"/>
      <c r="D171" s="10"/>
      <c r="E171" s="58" t="s">
        <v>107</v>
      </c>
      <c r="F171" s="59"/>
      <c r="G171" s="59"/>
      <c r="H171" s="59"/>
      <c r="I171" s="59"/>
      <c r="J171" s="59"/>
      <c r="K171" s="59"/>
      <c r="L171" s="60"/>
      <c r="M171" s="61"/>
      <c r="N171" s="61">
        <f>+N163+N167</f>
        <v>2047462.6304522345</v>
      </c>
      <c r="O171" s="62">
        <f t="shared" ref="O171:R171" si="101">+O163+O167</f>
        <v>83608343.591115862</v>
      </c>
      <c r="P171" s="61">
        <f t="shared" si="101"/>
        <v>-358408.14493811998</v>
      </c>
      <c r="Q171" s="61">
        <f t="shared" si="101"/>
        <v>0</v>
      </c>
      <c r="R171" s="61">
        <f t="shared" si="101"/>
        <v>0</v>
      </c>
      <c r="S171" s="61">
        <f t="shared" ref="S171" si="102">SUM(S163,S167)</f>
        <v>-490291.36321569659</v>
      </c>
      <c r="T171" s="61"/>
      <c r="U171" s="61">
        <f t="shared" ref="U171:V171" si="103">+U163+U167</f>
        <v>1557171.267236538</v>
      </c>
      <c r="V171" s="62">
        <f t="shared" si="103"/>
        <v>20701272.228115056</v>
      </c>
      <c r="W171" s="12"/>
    </row>
    <row r="172" spans="1:23" ht="12.75" thickBot="1" x14ac:dyDescent="0.25">
      <c r="A172" s="9"/>
      <c r="B172" s="9"/>
      <c r="C172" s="9"/>
      <c r="D172" s="9"/>
      <c r="E172" s="56"/>
      <c r="F172" s="9"/>
      <c r="G172" s="9"/>
      <c r="H172" s="9"/>
      <c r="I172" s="9"/>
      <c r="J172" s="9"/>
      <c r="K172" s="9"/>
      <c r="L172" s="11"/>
      <c r="M172" s="45"/>
      <c r="N172" s="45"/>
      <c r="O172" s="55"/>
      <c r="P172" s="45"/>
      <c r="Q172" s="45"/>
      <c r="R172" s="45"/>
      <c r="S172" s="45"/>
      <c r="T172" s="45"/>
      <c r="U172" s="45"/>
      <c r="V172" s="55"/>
      <c r="W172" s="12"/>
    </row>
    <row r="173" spans="1:23" ht="12.75" thickBot="1" x14ac:dyDescent="0.25">
      <c r="A173" s="10"/>
      <c r="B173" s="10"/>
      <c r="C173" s="10"/>
      <c r="D173" s="10"/>
      <c r="E173" s="58" t="s">
        <v>108</v>
      </c>
      <c r="F173" s="59"/>
      <c r="G173" s="59"/>
      <c r="H173" s="59"/>
      <c r="I173" s="59"/>
      <c r="J173" s="59"/>
      <c r="K173" s="59"/>
      <c r="L173" s="60"/>
      <c r="M173" s="61"/>
      <c r="N173" s="61">
        <f>+N161+N171</f>
        <v>-555643.98954776558</v>
      </c>
      <c r="O173" s="62">
        <f t="shared" ref="O173:R173" si="104">+O161+O171</f>
        <v>343366359.87111586</v>
      </c>
      <c r="P173" s="61">
        <f t="shared" si="104"/>
        <v>-358408.14493811998</v>
      </c>
      <c r="Q173" s="61">
        <f t="shared" si="104"/>
        <v>-384045.34000000008</v>
      </c>
      <c r="R173" s="61">
        <f t="shared" si="104"/>
        <v>0</v>
      </c>
      <c r="S173" s="61">
        <f t="shared" ref="S173" si="105">+S171+S161</f>
        <v>-490291.36321569659</v>
      </c>
      <c r="T173" s="61"/>
      <c r="U173" s="61">
        <f t="shared" ref="U173:V173" si="106">+U161+U171</f>
        <v>-1429980.6927634615</v>
      </c>
      <c r="V173" s="62">
        <f t="shared" si="106"/>
        <v>298025380.22811508</v>
      </c>
      <c r="W173" s="140"/>
    </row>
    <row r="174" spans="1:23" x14ac:dyDescent="0.2">
      <c r="A174" s="9"/>
      <c r="B174" s="9"/>
      <c r="C174" s="9"/>
      <c r="D174" s="9"/>
      <c r="E174" s="122"/>
      <c r="F174" s="123"/>
      <c r="G174" s="123"/>
      <c r="H174" s="123"/>
      <c r="I174" s="123"/>
      <c r="J174" s="123"/>
      <c r="K174" s="123"/>
      <c r="L174" s="124"/>
      <c r="M174" s="125"/>
      <c r="N174" s="125">
        <v>0</v>
      </c>
      <c r="O174" s="125">
        <v>0</v>
      </c>
      <c r="P174" s="125"/>
      <c r="Q174" s="125">
        <v>0</v>
      </c>
      <c r="R174" s="125"/>
      <c r="S174" s="125"/>
      <c r="T174" s="125"/>
      <c r="U174" s="125">
        <v>0</v>
      </c>
      <c r="V174" s="126">
        <v>0</v>
      </c>
      <c r="W174" s="12"/>
    </row>
    <row r="175" spans="1:23" x14ac:dyDescent="0.2">
      <c r="A175" s="9"/>
      <c r="B175" s="9"/>
      <c r="C175" s="9"/>
      <c r="D175" s="9"/>
      <c r="E175" s="56"/>
      <c r="F175" s="9"/>
      <c r="G175" s="9"/>
      <c r="H175" s="9"/>
      <c r="I175" s="9"/>
      <c r="J175" s="9"/>
      <c r="K175" s="9"/>
      <c r="L175" s="11"/>
      <c r="M175" s="45"/>
      <c r="N175" s="45"/>
      <c r="O175" s="11"/>
      <c r="P175" s="45"/>
      <c r="Q175" s="45"/>
      <c r="R175" s="45"/>
      <c r="S175" s="45"/>
      <c r="T175" s="45"/>
      <c r="U175" s="45"/>
      <c r="V175" s="63"/>
      <c r="W175" s="12"/>
    </row>
    <row r="176" spans="1:23" ht="12.75" thickBot="1" x14ac:dyDescent="0.25">
      <c r="A176" s="9"/>
      <c r="B176" s="9"/>
      <c r="C176" s="9"/>
      <c r="D176" s="9"/>
      <c r="E176" s="56"/>
      <c r="F176" s="9"/>
      <c r="G176" s="9"/>
      <c r="H176" s="9"/>
      <c r="I176" s="9"/>
      <c r="J176" s="111"/>
      <c r="K176" s="111"/>
      <c r="L176" s="11"/>
      <c r="M176" s="45"/>
      <c r="N176" s="45"/>
      <c r="O176" s="11"/>
      <c r="P176" s="45"/>
      <c r="Q176" s="45"/>
      <c r="R176" s="45"/>
      <c r="S176" s="45"/>
      <c r="T176" s="45"/>
      <c r="U176" s="45"/>
      <c r="V176" s="63"/>
      <c r="W176" s="12"/>
    </row>
    <row r="177" spans="1:23" x14ac:dyDescent="0.2">
      <c r="A177" s="80"/>
      <c r="B177" s="80"/>
      <c r="C177" s="80"/>
      <c r="D177" s="80"/>
      <c r="E177" s="64"/>
      <c r="F177" s="9"/>
      <c r="G177" s="9"/>
      <c r="H177" s="9"/>
      <c r="I177" s="9"/>
      <c r="J177" s="9"/>
      <c r="K177" s="9">
        <v>2023</v>
      </c>
      <c r="L177" s="11" t="s">
        <v>23</v>
      </c>
      <c r="M177" s="45"/>
      <c r="N177" s="218">
        <f t="shared" ref="N177:O188" si="107">SUMIFS(N$9:N$64,$K$9:$K$64,$K177,$D$9:$D$64,$L177)</f>
        <v>0</v>
      </c>
      <c r="O177" s="219">
        <f t="shared" si="107"/>
        <v>0</v>
      </c>
      <c r="P177" s="45"/>
      <c r="Q177" s="45"/>
      <c r="R177" s="45"/>
      <c r="S177" s="45"/>
      <c r="T177" s="45"/>
      <c r="U177" s="218">
        <f t="shared" ref="U177:V188" si="108">SUMIFS(U$9:U$64,$K$9:$K$64,$K177,$D$9:$D$64,$L177)</f>
        <v>0</v>
      </c>
      <c r="V177" s="219">
        <f t="shared" si="108"/>
        <v>0</v>
      </c>
      <c r="W177" s="12"/>
    </row>
    <row r="178" spans="1:23" x14ac:dyDescent="0.2">
      <c r="A178" s="80"/>
      <c r="B178" s="80"/>
      <c r="C178" s="80"/>
      <c r="D178" s="80"/>
      <c r="E178" s="64"/>
      <c r="F178" s="9"/>
      <c r="G178" s="9"/>
      <c r="H178" s="9"/>
      <c r="I178" s="9"/>
      <c r="J178" s="9"/>
      <c r="K178" s="9">
        <v>2024</v>
      </c>
      <c r="L178" s="11" t="s">
        <v>23</v>
      </c>
      <c r="M178" s="45"/>
      <c r="N178" s="220">
        <f t="shared" si="107"/>
        <v>0</v>
      </c>
      <c r="O178" s="221">
        <f t="shared" si="107"/>
        <v>0</v>
      </c>
      <c r="P178" s="45"/>
      <c r="Q178" s="45"/>
      <c r="R178" s="45"/>
      <c r="S178" s="45"/>
      <c r="T178" s="45"/>
      <c r="U178" s="220">
        <f t="shared" si="108"/>
        <v>0</v>
      </c>
      <c r="V178" s="221">
        <f t="shared" si="108"/>
        <v>0</v>
      </c>
      <c r="W178" s="12"/>
    </row>
    <row r="179" spans="1:23" x14ac:dyDescent="0.2">
      <c r="A179" s="80"/>
      <c r="B179" s="80"/>
      <c r="C179" s="80"/>
      <c r="D179" s="80"/>
      <c r="E179" s="64"/>
      <c r="F179" s="9"/>
      <c r="G179" s="9"/>
      <c r="H179" s="9"/>
      <c r="I179" s="9"/>
      <c r="J179" s="9"/>
      <c r="K179" s="9">
        <v>2025</v>
      </c>
      <c r="L179" s="11" t="s">
        <v>23</v>
      </c>
      <c r="M179" s="45"/>
      <c r="N179" s="220">
        <f t="shared" si="107"/>
        <v>20898.880000000005</v>
      </c>
      <c r="O179" s="221">
        <f t="shared" si="107"/>
        <v>41166972</v>
      </c>
      <c r="P179" s="45"/>
      <c r="Q179" s="45"/>
      <c r="R179" s="45"/>
      <c r="S179" s="45"/>
      <c r="T179" s="45"/>
      <c r="U179" s="220">
        <f t="shared" si="108"/>
        <v>-17723.599999999999</v>
      </c>
      <c r="V179" s="221">
        <f t="shared" si="108"/>
        <v>49596432</v>
      </c>
      <c r="W179" s="12"/>
    </row>
    <row r="180" spans="1:23" x14ac:dyDescent="0.2">
      <c r="A180" s="80"/>
      <c r="B180" s="80"/>
      <c r="C180" s="80"/>
      <c r="D180" s="80"/>
      <c r="E180" s="64"/>
      <c r="F180" s="9"/>
      <c r="G180" s="9"/>
      <c r="H180" s="9"/>
      <c r="I180" s="9"/>
      <c r="J180" s="9"/>
      <c r="K180" s="9">
        <v>2026</v>
      </c>
      <c r="L180" s="11" t="s">
        <v>23</v>
      </c>
      <c r="M180" s="45"/>
      <c r="N180" s="220">
        <f t="shared" si="107"/>
        <v>437633.45999999996</v>
      </c>
      <c r="O180" s="221">
        <f t="shared" si="107"/>
        <v>89415000</v>
      </c>
      <c r="P180" s="45"/>
      <c r="Q180" s="45"/>
      <c r="R180" s="45"/>
      <c r="S180" s="45"/>
      <c r="T180" s="45"/>
      <c r="U180" s="220">
        <f t="shared" si="108"/>
        <v>53209.56</v>
      </c>
      <c r="V180" s="221">
        <f t="shared" si="108"/>
        <v>89415000</v>
      </c>
      <c r="W180" s="12"/>
    </row>
    <row r="181" spans="1:23" x14ac:dyDescent="0.2">
      <c r="A181" s="80"/>
      <c r="B181" s="80"/>
      <c r="C181" s="80"/>
      <c r="D181" s="80"/>
      <c r="E181" s="64"/>
      <c r="F181" s="9"/>
      <c r="G181" s="9"/>
      <c r="H181" s="9"/>
      <c r="I181" s="9"/>
      <c r="J181" s="9"/>
      <c r="K181" s="9">
        <v>2027</v>
      </c>
      <c r="L181" s="11" t="s">
        <v>23</v>
      </c>
      <c r="M181" s="45"/>
      <c r="N181" s="220">
        <f t="shared" si="107"/>
        <v>40178.199999999997</v>
      </c>
      <c r="O181" s="221">
        <f t="shared" si="107"/>
        <v>12034744.279999999</v>
      </c>
      <c r="P181" s="45"/>
      <c r="Q181" s="45"/>
      <c r="R181" s="45"/>
      <c r="S181" s="45"/>
      <c r="T181" s="45"/>
      <c r="U181" s="220">
        <f t="shared" si="108"/>
        <v>-76240.390000000014</v>
      </c>
      <c r="V181" s="221">
        <f t="shared" si="108"/>
        <v>12887039</v>
      </c>
      <c r="W181" s="12"/>
    </row>
    <row r="182" spans="1:23" x14ac:dyDescent="0.2">
      <c r="A182" s="80"/>
      <c r="B182" s="80"/>
      <c r="C182" s="80"/>
      <c r="D182" s="80"/>
      <c r="E182" s="64"/>
      <c r="F182" s="9"/>
      <c r="G182" s="9"/>
      <c r="H182" s="9"/>
      <c r="I182" s="9"/>
      <c r="J182" s="9"/>
      <c r="K182" s="9">
        <v>2028</v>
      </c>
      <c r="L182" s="11" t="s">
        <v>23</v>
      </c>
      <c r="M182" s="45"/>
      <c r="N182" s="220">
        <f t="shared" si="107"/>
        <v>-77841.320000000007</v>
      </c>
      <c r="O182" s="221">
        <f t="shared" si="107"/>
        <v>2054000</v>
      </c>
      <c r="P182" s="45"/>
      <c r="Q182" s="45"/>
      <c r="R182" s="45"/>
      <c r="S182" s="45"/>
      <c r="T182" s="45"/>
      <c r="U182" s="220">
        <f t="shared" si="108"/>
        <v>-101603.07</v>
      </c>
      <c r="V182" s="221">
        <f t="shared" si="108"/>
        <v>5654000</v>
      </c>
      <c r="W182" s="12"/>
    </row>
    <row r="183" spans="1:23" x14ac:dyDescent="0.2">
      <c r="A183" s="80"/>
      <c r="B183" s="80"/>
      <c r="C183" s="80"/>
      <c r="D183" s="80"/>
      <c r="E183" s="64"/>
      <c r="F183" s="9"/>
      <c r="G183" s="9"/>
      <c r="H183" s="9"/>
      <c r="I183" s="9"/>
      <c r="J183" s="9"/>
      <c r="K183" s="9">
        <v>2029</v>
      </c>
      <c r="L183" s="11" t="s">
        <v>23</v>
      </c>
      <c r="M183" s="45"/>
      <c r="N183" s="220">
        <f t="shared" si="107"/>
        <v>-3023975.84</v>
      </c>
      <c r="O183" s="221">
        <f t="shared" si="107"/>
        <v>115087300</v>
      </c>
      <c r="P183" s="45"/>
      <c r="Q183" s="45"/>
      <c r="R183" s="45"/>
      <c r="S183" s="45"/>
      <c r="T183" s="45"/>
      <c r="U183" s="220">
        <f t="shared" si="108"/>
        <v>-2843332.02</v>
      </c>
      <c r="V183" s="221">
        <f t="shared" si="108"/>
        <v>114956562</v>
      </c>
      <c r="W183" s="12"/>
    </row>
    <row r="184" spans="1:23" x14ac:dyDescent="0.2">
      <c r="A184" s="80"/>
      <c r="B184" s="80"/>
      <c r="C184" s="80"/>
      <c r="D184" s="80"/>
      <c r="E184" s="64"/>
      <c r="F184" s="9"/>
      <c r="G184" s="9"/>
      <c r="H184" s="9"/>
      <c r="I184" s="9"/>
      <c r="J184" s="9"/>
      <c r="K184" s="9">
        <v>2030</v>
      </c>
      <c r="L184" s="11" t="s">
        <v>23</v>
      </c>
      <c r="M184" s="45"/>
      <c r="N184" s="220">
        <f t="shared" si="107"/>
        <v>0</v>
      </c>
      <c r="O184" s="221">
        <f t="shared" si="107"/>
        <v>0</v>
      </c>
      <c r="P184" s="45"/>
      <c r="Q184" s="45"/>
      <c r="R184" s="45"/>
      <c r="S184" s="45"/>
      <c r="T184" s="45"/>
      <c r="U184" s="220">
        <f t="shared" si="108"/>
        <v>0</v>
      </c>
      <c r="V184" s="221">
        <f t="shared" si="108"/>
        <v>0</v>
      </c>
      <c r="W184" s="12"/>
    </row>
    <row r="185" spans="1:23" x14ac:dyDescent="0.2">
      <c r="A185" s="80"/>
      <c r="B185" s="80"/>
      <c r="C185" s="80"/>
      <c r="D185" s="80"/>
      <c r="E185" s="64"/>
      <c r="F185" s="9"/>
      <c r="G185" s="9"/>
      <c r="H185" s="9"/>
      <c r="I185" s="9"/>
      <c r="J185" s="9"/>
      <c r="K185" s="9">
        <v>2032</v>
      </c>
      <c r="L185" s="11" t="s">
        <v>23</v>
      </c>
      <c r="M185" s="45"/>
      <c r="N185" s="220">
        <f t="shared" si="107"/>
        <v>0</v>
      </c>
      <c r="O185" s="221">
        <f t="shared" si="107"/>
        <v>0</v>
      </c>
      <c r="P185" s="45"/>
      <c r="Q185" s="45"/>
      <c r="R185" s="45"/>
      <c r="S185" s="45"/>
      <c r="T185" s="45"/>
      <c r="U185" s="220">
        <f t="shared" si="108"/>
        <v>-1462.44</v>
      </c>
      <c r="V185" s="221">
        <f t="shared" si="108"/>
        <v>4815075</v>
      </c>
      <c r="W185" s="12"/>
    </row>
    <row r="186" spans="1:23" x14ac:dyDescent="0.2">
      <c r="A186" s="80"/>
      <c r="B186" s="80"/>
      <c r="C186" s="80"/>
      <c r="D186" s="80"/>
      <c r="E186" s="64"/>
      <c r="F186" s="9"/>
      <c r="G186" s="9"/>
      <c r="H186" s="9"/>
      <c r="I186" s="9"/>
      <c r="J186" s="9"/>
      <c r="K186" s="9">
        <v>2034</v>
      </c>
      <c r="L186" s="11" t="s">
        <v>23</v>
      </c>
      <c r="M186" s="45"/>
      <c r="N186" s="220">
        <f t="shared" si="107"/>
        <v>0</v>
      </c>
      <c r="O186" s="221">
        <f t="shared" si="107"/>
        <v>0</v>
      </c>
      <c r="P186" s="45"/>
      <c r="Q186" s="45"/>
      <c r="R186" s="45"/>
      <c r="S186" s="45"/>
      <c r="T186" s="45"/>
      <c r="U186" s="220">
        <f t="shared" si="108"/>
        <v>0</v>
      </c>
      <c r="V186" s="221">
        <f t="shared" si="108"/>
        <v>0</v>
      </c>
      <c r="W186" s="12"/>
    </row>
    <row r="187" spans="1:23" x14ac:dyDescent="0.2">
      <c r="A187" s="80"/>
      <c r="B187" s="80"/>
      <c r="C187" s="80"/>
      <c r="D187" s="80"/>
      <c r="E187" s="64"/>
      <c r="F187" s="9"/>
      <c r="G187" s="9"/>
      <c r="H187" s="9"/>
      <c r="I187" s="9"/>
      <c r="J187" s="9"/>
      <c r="K187" s="9">
        <v>2037</v>
      </c>
      <c r="L187" s="11" t="s">
        <v>23</v>
      </c>
      <c r="M187" s="45"/>
      <c r="N187" s="220">
        <f t="shared" si="107"/>
        <v>0</v>
      </c>
      <c r="O187" s="221">
        <f t="shared" si="107"/>
        <v>0</v>
      </c>
      <c r="P187" s="45"/>
      <c r="Q187" s="45"/>
      <c r="R187" s="45"/>
      <c r="S187" s="45"/>
      <c r="T187" s="45"/>
      <c r="U187" s="220">
        <f t="shared" si="108"/>
        <v>0</v>
      </c>
      <c r="V187" s="221">
        <f t="shared" si="108"/>
        <v>0</v>
      </c>
      <c r="W187" s="12"/>
    </row>
    <row r="188" spans="1:23" ht="12.75" thickBot="1" x14ac:dyDescent="0.25">
      <c r="A188" s="80"/>
      <c r="B188" s="80"/>
      <c r="C188" s="80"/>
      <c r="D188" s="80"/>
      <c r="E188" s="64"/>
      <c r="F188" s="9"/>
      <c r="G188" s="9"/>
      <c r="H188" s="9"/>
      <c r="I188" s="9"/>
      <c r="J188" s="9"/>
      <c r="K188" s="2">
        <v>2038</v>
      </c>
      <c r="L188" s="11" t="s">
        <v>23</v>
      </c>
      <c r="M188" s="45"/>
      <c r="N188" s="222">
        <f t="shared" si="107"/>
        <v>0</v>
      </c>
      <c r="O188" s="223">
        <f t="shared" si="107"/>
        <v>0</v>
      </c>
      <c r="P188" s="45"/>
      <c r="Q188" s="45"/>
      <c r="R188" s="45"/>
      <c r="S188" s="45"/>
      <c r="T188" s="45"/>
      <c r="U188" s="222">
        <f t="shared" si="108"/>
        <v>0</v>
      </c>
      <c r="V188" s="223">
        <f t="shared" si="108"/>
        <v>0</v>
      </c>
      <c r="W188" s="12"/>
    </row>
    <row r="189" spans="1:23" ht="12.75" thickBot="1" x14ac:dyDescent="0.25">
      <c r="A189" s="10"/>
      <c r="B189" s="10"/>
      <c r="C189" s="10"/>
      <c r="D189" s="10"/>
      <c r="E189" s="127" t="s">
        <v>104</v>
      </c>
      <c r="F189" s="65"/>
      <c r="G189" s="10"/>
      <c r="H189" s="9"/>
      <c r="I189" s="9"/>
      <c r="J189" s="111"/>
      <c r="K189" s="111"/>
      <c r="L189" s="11"/>
      <c r="M189" s="55"/>
      <c r="N189" s="128">
        <f>SUM(N177:N188)</f>
        <v>-2603106.62</v>
      </c>
      <c r="O189" s="129">
        <f>SUM(O177:O188)</f>
        <v>259758016.28</v>
      </c>
      <c r="P189" s="68"/>
      <c r="Q189" s="45"/>
      <c r="R189" s="45"/>
      <c r="S189" s="45"/>
      <c r="T189" s="55"/>
      <c r="U189" s="128">
        <f>SUM(U177:U188)</f>
        <v>-2987151.96</v>
      </c>
      <c r="V189" s="130">
        <f>SUM(V177:V188)</f>
        <v>277324108</v>
      </c>
      <c r="W189" s="52"/>
    </row>
    <row r="190" spans="1:23" s="1" customFormat="1" x14ac:dyDescent="0.2">
      <c r="A190" s="105"/>
      <c r="B190" s="105"/>
      <c r="C190" s="105"/>
      <c r="D190" s="105"/>
      <c r="E190" s="131"/>
      <c r="F190" s="132"/>
      <c r="G190" s="132"/>
      <c r="H190" s="132"/>
      <c r="I190" s="132"/>
      <c r="J190" s="132"/>
      <c r="K190" s="132"/>
      <c r="L190" s="133"/>
      <c r="M190" s="134"/>
      <c r="N190" s="134">
        <f>+N189-N161</f>
        <v>0</v>
      </c>
      <c r="O190" s="134">
        <f>+O189-O161</f>
        <v>0</v>
      </c>
      <c r="P190" s="134"/>
      <c r="Q190" s="134"/>
      <c r="R190" s="134"/>
      <c r="S190" s="134"/>
      <c r="T190" s="134"/>
      <c r="U190" s="134">
        <f>+U189-U161</f>
        <v>0</v>
      </c>
      <c r="V190" s="135">
        <f>+V189-V161</f>
        <v>0</v>
      </c>
      <c r="W190" s="116"/>
    </row>
    <row r="191" spans="1:23" ht="12.75" thickBot="1" x14ac:dyDescent="0.25">
      <c r="A191" s="10"/>
      <c r="B191" s="10"/>
      <c r="C191" s="10"/>
      <c r="D191" s="10"/>
      <c r="E191" s="65"/>
      <c r="F191" s="10"/>
      <c r="G191" s="10"/>
      <c r="H191" s="9"/>
      <c r="I191" s="9"/>
      <c r="J191" s="111"/>
      <c r="K191" s="111"/>
      <c r="L191" s="11"/>
      <c r="M191" s="45"/>
      <c r="N191" s="45"/>
      <c r="O191" s="136"/>
      <c r="P191" s="45"/>
      <c r="Q191" s="45"/>
      <c r="R191" s="45"/>
      <c r="S191" s="45"/>
      <c r="T191" s="45"/>
      <c r="U191" s="45"/>
      <c r="V191" s="69"/>
      <c r="W191" s="52"/>
    </row>
    <row r="192" spans="1:23" x14ac:dyDescent="0.2">
      <c r="A192" s="80"/>
      <c r="B192" s="80"/>
      <c r="C192" s="80"/>
      <c r="D192" s="80"/>
      <c r="E192" s="64"/>
      <c r="F192" s="9"/>
      <c r="G192" s="9"/>
      <c r="H192" s="9"/>
      <c r="I192" s="9"/>
      <c r="J192" s="9"/>
      <c r="K192" s="9">
        <v>2023</v>
      </c>
      <c r="L192" s="11" t="s">
        <v>23</v>
      </c>
      <c r="M192" s="45"/>
      <c r="N192" s="218">
        <f>SUMIFS(N$71:N$89,$K$71:$K$89,$K192,$D$71:$D$89,$L192)/'Tx de change'!$B$4</f>
        <v>0</v>
      </c>
      <c r="O192" s="219">
        <f>SUMIFS(O$71:O$89,$K$71:$K$89,$K192,$D$71:$D$89,$L192)/'Tx de change'!$B$4</f>
        <v>0</v>
      </c>
      <c r="P192" s="45"/>
      <c r="Q192" s="45"/>
      <c r="R192" s="45"/>
      <c r="S192" s="45"/>
      <c r="T192" s="45"/>
      <c r="U192" s="218">
        <f>SUMIFS(U$71:U$89,$K$71:$K$89,$K192,$D$71:$D$89,$L192)/'Tx de change'!$B$2</f>
        <v>0</v>
      </c>
      <c r="V192" s="219">
        <f>SUMIFS(V$71:V$89,$K$71:$K$89,$K192,$D$71:$D$89,$L192)/'Tx de change'!$B$2</f>
        <v>0</v>
      </c>
      <c r="W192" s="9"/>
    </row>
    <row r="193" spans="1:23" x14ac:dyDescent="0.2">
      <c r="A193" s="80"/>
      <c r="B193" s="80"/>
      <c r="C193" s="80"/>
      <c r="D193" s="80"/>
      <c r="E193" s="64"/>
      <c r="F193" s="9"/>
      <c r="G193" s="9"/>
      <c r="H193" s="9"/>
      <c r="I193" s="9"/>
      <c r="J193" s="9"/>
      <c r="K193" s="9">
        <v>2024</v>
      </c>
      <c r="L193" s="11" t="s">
        <v>23</v>
      </c>
      <c r="M193" s="45"/>
      <c r="N193" s="220">
        <f>SUMIFS(N$71:N$89,$K$71:$K$89,$K193,$D$71:$D$89,$L193)/'Tx de change'!$B$4</f>
        <v>78429.401926679158</v>
      </c>
      <c r="O193" s="221">
        <f>SUMIFS(O$71:O$89,$K$71:$K$89,$K193,$D$71:$D$89,$L193)/'Tx de change'!$B$4</f>
        <v>0</v>
      </c>
      <c r="P193" s="45"/>
      <c r="Q193" s="45"/>
      <c r="R193" s="45"/>
      <c r="S193" s="45"/>
      <c r="T193" s="45"/>
      <c r="U193" s="220">
        <f>SUMIFS(U$71:U$89,$K$71:$K$89,$K193,$D$71:$D$89,$L193)/'Tx de change'!$B$2</f>
        <v>73149.229425344733</v>
      </c>
      <c r="V193" s="221">
        <f>SUMIFS(V$71:V$89,$K$71:$K$89,$K193,$D$71:$D$89,$L193)/'Tx de change'!$B$2</f>
        <v>0</v>
      </c>
      <c r="W193" s="9"/>
    </row>
    <row r="194" spans="1:23" x14ac:dyDescent="0.2">
      <c r="A194" s="80"/>
      <c r="B194" s="80"/>
      <c r="C194" s="80"/>
      <c r="D194" s="80"/>
      <c r="E194" s="64"/>
      <c r="F194" s="9"/>
      <c r="G194" s="9"/>
      <c r="H194" s="9"/>
      <c r="I194" s="9"/>
      <c r="J194" s="9"/>
      <c r="K194" s="9">
        <v>2025</v>
      </c>
      <c r="L194" s="11" t="s">
        <v>23</v>
      </c>
      <c r="M194" s="45"/>
      <c r="N194" s="220">
        <f>SUMIFS(N$71:N$89,$K$71:$K$89,$K194,$D$71:$D$89,$L194)/'Tx de change'!$B$4</f>
        <v>0</v>
      </c>
      <c r="O194" s="221">
        <f>SUMIFS(O$71:O$89,$K$71:$K$89,$K194,$D$71:$D$89,$L194)/'Tx de change'!$B$4</f>
        <v>0</v>
      </c>
      <c r="P194" s="45"/>
      <c r="Q194" s="45"/>
      <c r="R194" s="45"/>
      <c r="S194" s="45"/>
      <c r="T194" s="45"/>
      <c r="U194" s="220">
        <f>SUMIFS(U$71:U$89,$K$71:$K$89,$K194,$D$71:$D$89,$L194)/'Tx de change'!$B$2</f>
        <v>0</v>
      </c>
      <c r="V194" s="221">
        <f>SUMIFS(V$71:V$89,$K$71:$K$89,$K194,$D$71:$D$89,$L194)/'Tx de change'!$B$2</f>
        <v>0</v>
      </c>
      <c r="W194" s="9"/>
    </row>
    <row r="195" spans="1:23" x14ac:dyDescent="0.2">
      <c r="A195" s="80"/>
      <c r="B195" s="80"/>
      <c r="C195" s="80"/>
      <c r="D195" s="80"/>
      <c r="E195" s="64"/>
      <c r="F195" s="9"/>
      <c r="G195" s="9"/>
      <c r="H195" s="9"/>
      <c r="I195" s="9"/>
      <c r="J195" s="9"/>
      <c r="K195" s="9">
        <v>2026</v>
      </c>
      <c r="L195" s="11" t="s">
        <v>23</v>
      </c>
      <c r="M195" s="45"/>
      <c r="N195" s="220">
        <f>SUMIFS(N$71:N$89,$K$71:$K$89,$K195,$D$71:$D$89,$L195)/'Tx de change'!$B$4</f>
        <v>-12692.881990901793</v>
      </c>
      <c r="O195" s="221">
        <f>SUMIFS(O$71:O$89,$K$71:$K$89,$K195,$D$71:$D$89,$L195)/'Tx de change'!$B$4</f>
        <v>3813219.1597538134</v>
      </c>
      <c r="P195" s="45"/>
      <c r="Q195" s="45"/>
      <c r="R195" s="45"/>
      <c r="S195" s="45"/>
      <c r="T195" s="45"/>
      <c r="U195" s="220">
        <f>SUMIFS(U$71:U$89,$K$71:$K$89,$K195,$D$71:$D$89,$L195)/'Tx de change'!$B$2</f>
        <v>-23715.199351095027</v>
      </c>
      <c r="V195" s="221">
        <f>SUMIFS(V$71:V$89,$K$71:$K$89,$K195,$D$71:$D$89,$L195)/'Tx de change'!$B$2</f>
        <v>0</v>
      </c>
      <c r="W195" s="9"/>
    </row>
    <row r="196" spans="1:23" x14ac:dyDescent="0.2">
      <c r="A196" s="80"/>
      <c r="B196" s="80"/>
      <c r="C196" s="80"/>
      <c r="D196" s="80"/>
      <c r="E196" s="64"/>
      <c r="F196" s="9"/>
      <c r="G196" s="9"/>
      <c r="H196" s="9"/>
      <c r="I196" s="9"/>
      <c r="J196" s="9"/>
      <c r="K196" s="9">
        <v>2027</v>
      </c>
      <c r="L196" s="11" t="s">
        <v>23</v>
      </c>
      <c r="M196" s="45"/>
      <c r="N196" s="220">
        <f>SUMIFS(N$71:N$89,$K$71:$K$89,$K196,$D$71:$D$89,$L196)/'Tx de change'!$B$4</f>
        <v>147074.63205780037</v>
      </c>
      <c r="O196" s="221">
        <f>SUMIFS(O$71:O$89,$K$71:$K$89,$K196,$D$71:$D$89,$L196)/'Tx de change'!$B$4</f>
        <v>9971172.0631522611</v>
      </c>
      <c r="P196" s="45"/>
      <c r="Q196" s="45"/>
      <c r="R196" s="45"/>
      <c r="S196" s="45"/>
      <c r="T196" s="45"/>
      <c r="U196" s="220">
        <f>SUMIFS(U$71:U$89,$K$71:$K$89,$K196,$D$71:$D$89,$L196)/'Tx de change'!$B$2</f>
        <v>86713.190241467513</v>
      </c>
      <c r="V196" s="221">
        <f>SUMIFS(V$71:V$89,$K$71:$K$89,$K196,$D$71:$D$89,$L196)/'Tx de change'!$B$2</f>
        <v>2347562.2387221563</v>
      </c>
      <c r="W196" s="9"/>
    </row>
    <row r="197" spans="1:23" x14ac:dyDescent="0.2">
      <c r="A197" s="80"/>
      <c r="B197" s="80"/>
      <c r="C197" s="80"/>
      <c r="D197" s="80"/>
      <c r="E197" s="64"/>
      <c r="F197" s="9"/>
      <c r="G197" s="9"/>
      <c r="H197" s="9"/>
      <c r="I197" s="9"/>
      <c r="J197" s="9"/>
      <c r="K197" s="9">
        <v>2028</v>
      </c>
      <c r="L197" s="11" t="s">
        <v>23</v>
      </c>
      <c r="M197" s="45"/>
      <c r="N197" s="220">
        <f>SUMIFS(N$71:N$89,$K$71:$K$89,$K197,$D$71:$D$89,$L197)/'Tx de change'!$B$4</f>
        <v>0</v>
      </c>
      <c r="O197" s="221">
        <f>SUMIFS(O$71:O$89,$K$71:$K$89,$K197,$D$71:$D$89,$L197)/'Tx de change'!$B$4</f>
        <v>0</v>
      </c>
      <c r="P197" s="45"/>
      <c r="Q197" s="45"/>
      <c r="R197" s="45"/>
      <c r="S197" s="45"/>
      <c r="T197" s="45"/>
      <c r="U197" s="220">
        <f>SUMIFS(U$71:U$89,$K$71:$K$89,$K197,$D$71:$D$89,$L197)/'Tx de change'!$B$2</f>
        <v>0</v>
      </c>
      <c r="V197" s="221">
        <f>SUMIFS(V$71:V$89,$K$71:$K$89,$K197,$D$71:$D$89,$L197)/'Tx de change'!$B$2</f>
        <v>0</v>
      </c>
      <c r="W197" s="9"/>
    </row>
    <row r="198" spans="1:23" x14ac:dyDescent="0.2">
      <c r="A198" s="80"/>
      <c r="B198" s="80"/>
      <c r="C198" s="80"/>
      <c r="D198" s="80"/>
      <c r="E198" s="64"/>
      <c r="F198" s="9"/>
      <c r="G198" s="9"/>
      <c r="H198" s="9"/>
      <c r="I198" s="9"/>
      <c r="J198" s="9"/>
      <c r="K198" s="9">
        <v>2029</v>
      </c>
      <c r="L198" s="11" t="s">
        <v>23</v>
      </c>
      <c r="M198" s="45"/>
      <c r="N198" s="220">
        <f>SUMIFS(N$71:N$89,$K$71:$K$89,$K198,$D$71:$D$89,$L198)/'Tx de change'!$B$4</f>
        <v>57318.08937650521</v>
      </c>
      <c r="O198" s="221">
        <f>SUMIFS(O$71:O$89,$K$71:$K$89,$K198,$D$71:$D$89,$L198)/'Tx de change'!$B$4</f>
        <v>49754377.843189724</v>
      </c>
      <c r="P198" s="45"/>
      <c r="Q198" s="45"/>
      <c r="R198" s="45"/>
      <c r="S198" s="45"/>
      <c r="T198" s="45"/>
      <c r="U198" s="220">
        <f>SUMIFS(U$71:U$89,$K$71:$K$89,$K198,$D$71:$D$89,$L198)/'Tx de change'!$B$2</f>
        <v>-201957.82117676435</v>
      </c>
      <c r="V198" s="221">
        <f>SUMIFS(V$71:V$89,$K$71:$K$89,$K198,$D$71:$D$89,$L198)/'Tx de change'!$B$2</f>
        <v>18353709.989392899</v>
      </c>
      <c r="W198" s="9"/>
    </row>
    <row r="199" spans="1:23" x14ac:dyDescent="0.2">
      <c r="A199" s="80"/>
      <c r="B199" s="80"/>
      <c r="C199" s="80"/>
      <c r="D199" s="80"/>
      <c r="E199" s="64"/>
      <c r="F199" s="9"/>
      <c r="G199" s="9"/>
      <c r="H199" s="9"/>
      <c r="I199" s="9"/>
      <c r="J199" s="9"/>
      <c r="K199" s="9">
        <v>2030</v>
      </c>
      <c r="L199" s="11" t="s">
        <v>23</v>
      </c>
      <c r="M199" s="45"/>
      <c r="N199" s="220">
        <f>SUMIFS(N$71:N$89,$K$71:$K$89,$K199,$D$71:$D$89,$L199)/'Tx de change'!$B$4</f>
        <v>26502.682633128177</v>
      </c>
      <c r="O199" s="221">
        <f>SUMIFS(O$71:O$89,$K$71:$K$89,$K199,$D$71:$D$89,$L199)/'Tx de change'!$B$4</f>
        <v>0</v>
      </c>
      <c r="P199" s="45"/>
      <c r="Q199" s="45"/>
      <c r="R199" s="45"/>
      <c r="S199" s="45"/>
      <c r="T199" s="45"/>
      <c r="U199" s="220">
        <f>SUMIFS(U$71:U$89,$K$71:$K$89,$K199,$D$71:$D$89,$L199)/'Tx de change'!$B$2</f>
        <v>24718.418918075746</v>
      </c>
      <c r="V199" s="221">
        <f>SUMIFS(V$71:V$89,$K$71:$K$89,$K199,$D$71:$D$89,$L199)/'Tx de change'!$B$2</f>
        <v>0</v>
      </c>
      <c r="W199" s="9"/>
    </row>
    <row r="200" spans="1:23" x14ac:dyDescent="0.2">
      <c r="A200" s="80"/>
      <c r="B200" s="80"/>
      <c r="C200" s="80"/>
      <c r="D200" s="80"/>
      <c r="E200" s="64"/>
      <c r="F200" s="9"/>
      <c r="G200" s="9"/>
      <c r="H200" s="9"/>
      <c r="I200" s="9"/>
      <c r="J200" s="9"/>
      <c r="K200" s="9">
        <v>2032</v>
      </c>
      <c r="L200" s="11" t="s">
        <v>23</v>
      </c>
      <c r="M200" s="45"/>
      <c r="N200" s="220">
        <f>SUMIFS(N$71:N$89,$K$71:$K$89,$K200,$D$71:$D$89,$L200)/'Tx de change'!$B$4</f>
        <v>712357.75354562479</v>
      </c>
      <c r="O200" s="221">
        <f>SUMIFS(O$71:O$89,$K$71:$K$89,$K200,$D$71:$D$89,$L200)/'Tx de change'!$B$4</f>
        <v>0</v>
      </c>
      <c r="P200" s="45"/>
      <c r="Q200" s="45"/>
      <c r="R200" s="45"/>
      <c r="S200" s="45"/>
      <c r="T200" s="45"/>
      <c r="U200" s="220">
        <f>SUMIFS(U$71:U$89,$K$71:$K$89,$K200,$D$71:$D$89,$L200)/'Tx de change'!$B$2</f>
        <v>664399.05783989513</v>
      </c>
      <c r="V200" s="221">
        <f>SUMIFS(V$71:V$89,$K$71:$K$89,$K200,$D$71:$D$89,$L200)/'Tx de change'!$B$2</f>
        <v>0</v>
      </c>
      <c r="W200" s="9"/>
    </row>
    <row r="201" spans="1:23" x14ac:dyDescent="0.2">
      <c r="A201" s="80"/>
      <c r="B201" s="80"/>
      <c r="C201" s="80"/>
      <c r="D201" s="80"/>
      <c r="E201" s="64"/>
      <c r="F201" s="9"/>
      <c r="G201" s="9"/>
      <c r="H201" s="9"/>
      <c r="I201" s="9"/>
      <c r="J201" s="9"/>
      <c r="K201" s="9">
        <v>2034</v>
      </c>
      <c r="L201" s="11" t="s">
        <v>23</v>
      </c>
      <c r="M201" s="45"/>
      <c r="N201" s="220">
        <f>SUMIFS(N$71:N$89,$K$71:$K$89,$K201,$D$71:$D$89,$L201)/'Tx de change'!$B$4</f>
        <v>73236.734011238965</v>
      </c>
      <c r="O201" s="221">
        <f>SUMIFS(O$71:O$89,$K$71:$K$89,$K201,$D$71:$D$89,$L201)/'Tx de change'!$B$4</f>
        <v>20069574.52502007</v>
      </c>
      <c r="P201" s="45"/>
      <c r="Q201" s="45"/>
      <c r="R201" s="45"/>
      <c r="S201" s="45"/>
      <c r="T201" s="45"/>
      <c r="U201" s="220">
        <f>SUMIFS(U$71:U$89,$K$71:$K$89,$K201,$D$71:$D$89,$L201)/'Tx de change'!$B$2</f>
        <v>33611.630373744309</v>
      </c>
      <c r="V201" s="221">
        <f>SUMIFS(V$71:V$89,$K$71:$K$89,$K201,$D$71:$D$89,$L201)/'Tx de change'!$B$2</f>
        <v>0</v>
      </c>
      <c r="W201" s="9"/>
    </row>
    <row r="202" spans="1:23" x14ac:dyDescent="0.2">
      <c r="A202" s="80"/>
      <c r="B202" s="80"/>
      <c r="C202" s="80"/>
      <c r="D202" s="80"/>
      <c r="E202" s="64"/>
      <c r="F202" s="9"/>
      <c r="G202" s="9"/>
      <c r="H202" s="9"/>
      <c r="I202" s="9"/>
      <c r="J202" s="9"/>
      <c r="K202" s="9">
        <v>2037</v>
      </c>
      <c r="L202" s="11" t="s">
        <v>23</v>
      </c>
      <c r="M202" s="45"/>
      <c r="N202" s="220">
        <f>SUMIFS(N$71:N$89,$K$71:$K$89,$K202,$D$71:$D$89,$L202)/'Tx de change'!$B$4</f>
        <v>445863.95504415303</v>
      </c>
      <c r="O202" s="221">
        <f>SUMIFS(O$71:O$89,$K$71:$K$89,$K202,$D$71:$D$89,$L202)/'Tx de change'!$B$4</f>
        <v>0</v>
      </c>
      <c r="P202" s="45"/>
      <c r="Q202" s="45"/>
      <c r="R202" s="45"/>
      <c r="S202" s="45"/>
      <c r="T202" s="45"/>
      <c r="U202" s="220">
        <f>SUMIFS(U$71:U$89,$K$71:$K$89,$K202,$D$71:$D$89,$L202)/'Tx de change'!$B$2</f>
        <v>415846.65876333683</v>
      </c>
      <c r="V202" s="221">
        <f>SUMIFS(V$71:V$89,$K$71:$K$89,$K202,$D$71:$D$89,$L202)/'Tx de change'!$B$2</f>
        <v>0</v>
      </c>
      <c r="W202" s="9"/>
    </row>
    <row r="203" spans="1:23" ht="12.75" thickBot="1" x14ac:dyDescent="0.25">
      <c r="A203" s="80"/>
      <c r="B203" s="80"/>
      <c r="C203" s="80"/>
      <c r="D203" s="80"/>
      <c r="E203" s="64"/>
      <c r="F203" s="9"/>
      <c r="G203" s="9"/>
      <c r="H203" s="9"/>
      <c r="I203" s="9"/>
      <c r="J203" s="9"/>
      <c r="K203" s="2">
        <v>2038</v>
      </c>
      <c r="L203" s="11" t="s">
        <v>23</v>
      </c>
      <c r="M203" s="45"/>
      <c r="N203" s="222">
        <f>SUMIFS(N$71:N$89,$K$71:$K$89,$K203,$D$71:$D$89,$L203)/'Tx de change'!$B$4</f>
        <v>519372.26384800649</v>
      </c>
      <c r="O203" s="223">
        <f>SUMIFS(O$71:O$89,$K$71:$K$89,$K203,$D$71:$D$89,$L203)/'Tx de change'!$B$4</f>
        <v>0</v>
      </c>
      <c r="P203" s="45"/>
      <c r="Q203" s="45"/>
      <c r="R203" s="45"/>
      <c r="S203" s="45"/>
      <c r="T203" s="45"/>
      <c r="U203" s="222">
        <f>SUMIFS(U$71:U$89,$K$71:$K$89,$K203,$D$71:$D$89,$L203)/'Tx de change'!$B$2</f>
        <v>484406.10220253322</v>
      </c>
      <c r="V203" s="223">
        <f>SUMIFS(V$71:V$89,$K$71:$K$89,$K203,$D$71:$D$89,$L203)/'Tx de change'!$B$2</f>
        <v>0</v>
      </c>
      <c r="W203" s="9"/>
    </row>
    <row r="204" spans="1:23" ht="12.75" thickBot="1" x14ac:dyDescent="0.25">
      <c r="A204" s="10"/>
      <c r="B204" s="10"/>
      <c r="C204" s="10"/>
      <c r="D204" s="10"/>
      <c r="E204" s="58" t="s">
        <v>107</v>
      </c>
      <c r="F204" s="70"/>
      <c r="G204" s="71"/>
      <c r="H204" s="72"/>
      <c r="I204" s="72"/>
      <c r="J204" s="73"/>
      <c r="K204" s="73"/>
      <c r="L204" s="74"/>
      <c r="M204" s="75"/>
      <c r="N204" s="66">
        <f>SUM(N192:N203)</f>
        <v>2047462.6304522345</v>
      </c>
      <c r="O204" s="67">
        <f>SUM(O192:O203)</f>
        <v>83608343.591115862</v>
      </c>
      <c r="P204" s="76"/>
      <c r="Q204" s="77"/>
      <c r="R204" s="77"/>
      <c r="S204" s="77"/>
      <c r="T204" s="75"/>
      <c r="U204" s="66">
        <f>SUM(U192:U203)</f>
        <v>1557171.2672365382</v>
      </c>
      <c r="V204" s="67">
        <f>SUM(V192:V203)</f>
        <v>20701272.228115056</v>
      </c>
      <c r="W204" s="52"/>
    </row>
    <row r="205" spans="1:23" s="1" customFormat="1" x14ac:dyDescent="0.2">
      <c r="A205" s="105"/>
      <c r="B205" s="105"/>
      <c r="C205" s="105"/>
      <c r="D205" s="105"/>
      <c r="E205" s="105"/>
      <c r="F205" s="105"/>
      <c r="G205" s="105"/>
      <c r="H205" s="105"/>
      <c r="I205" s="105"/>
      <c r="J205" s="105"/>
      <c r="K205" s="105"/>
      <c r="L205" s="114"/>
      <c r="M205" s="137"/>
      <c r="N205" s="137">
        <f>+N204-N171</f>
        <v>0</v>
      </c>
      <c r="O205" s="137">
        <f>+O204-O171</f>
        <v>0</v>
      </c>
      <c r="P205" s="137"/>
      <c r="Q205" s="137"/>
      <c r="R205" s="137"/>
      <c r="S205" s="137"/>
      <c r="T205" s="137"/>
      <c r="U205" s="137">
        <f>+U204-U171</f>
        <v>0</v>
      </c>
      <c r="V205" s="137">
        <f>+V204-V171</f>
        <v>0</v>
      </c>
      <c r="W205" s="116"/>
    </row>
    <row r="206" spans="1:23" x14ac:dyDescent="0.2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11"/>
      <c r="M206" s="6"/>
      <c r="N206" s="6"/>
      <c r="O206" s="11"/>
      <c r="P206" s="6"/>
      <c r="Q206" s="6"/>
      <c r="R206" s="6"/>
      <c r="S206" s="6"/>
      <c r="T206" s="6"/>
      <c r="U206" s="6"/>
      <c r="V206" s="11"/>
      <c r="W206" s="12"/>
    </row>
  </sheetData>
  <mergeCells count="5">
    <mergeCell ref="E5:O5"/>
    <mergeCell ref="E95:V95"/>
    <mergeCell ref="E151:V151"/>
    <mergeCell ref="O19:O20"/>
    <mergeCell ref="V19:V20"/>
  </mergeCells>
  <phoneticPr fontId="21" type="noConversion"/>
  <conditionalFormatting sqref="N8:N64 U8:U64 N71:N89 U71:U89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V31:V32 V43:V44">
    <cfRule type="cellIs" dxfId="3" priority="8" operator="lessThan">
      <formula>0</formula>
    </cfRule>
    <cfRule type="cellIs" dxfId="2" priority="9" operator="greaterThan">
      <formula>0</formula>
    </cfRule>
  </conditionalFormatting>
  <conditionalFormatting sqref="V47">
    <cfRule type="cellIs" dxfId="1" priority="2" operator="lessThan">
      <formula>0</formula>
    </cfRule>
    <cfRule type="cellIs" dxfId="0" priority="3" operator="greaterThan">
      <formula>0</formula>
    </cfRule>
  </conditionalFormatting>
  <pageMargins left="0.25" right="0.25" top="0.75" bottom="0.75" header="0.3" footer="0.3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2:B9"/>
  <sheetViews>
    <sheetView workbookViewId="0">
      <selection activeCell="B4" sqref="B4"/>
    </sheetView>
  </sheetViews>
  <sheetFormatPr baseColWidth="10" defaultColWidth="11.42578125" defaultRowHeight="15" x14ac:dyDescent="0.25"/>
  <cols>
    <col min="1" max="1" width="18.7109375" style="138" bestFit="1" customWidth="1"/>
    <col min="2" max="2" width="11.42578125" style="139"/>
    <col min="3" max="16384" width="11.42578125" style="138"/>
  </cols>
  <sheetData>
    <row r="2" spans="1:2" x14ac:dyDescent="0.25">
      <c r="A2" s="138" t="s">
        <v>155</v>
      </c>
      <c r="B2" s="139">
        <f>+[16]Webstat_Export_5385698!$D$10</f>
        <v>1.6027</v>
      </c>
    </row>
    <row r="3" spans="1:2" x14ac:dyDescent="0.25">
      <c r="A3" s="138" t="s">
        <v>156</v>
      </c>
      <c r="B3" s="139">
        <f>+[16]Webstat_Export_5385698!$D$11</f>
        <v>1.5400359999999995</v>
      </c>
    </row>
    <row r="4" spans="1:2" x14ac:dyDescent="0.25">
      <c r="A4" s="138" t="s">
        <v>157</v>
      </c>
      <c r="B4" s="139">
        <f>+B7</f>
        <v>1.4947999999999999</v>
      </c>
    </row>
    <row r="7" spans="1:2" x14ac:dyDescent="0.25">
      <c r="A7" s="138" t="s">
        <v>131</v>
      </c>
      <c r="B7" s="139">
        <v>1.4947999999999999</v>
      </c>
    </row>
    <row r="8" spans="1:2" x14ac:dyDescent="0.25">
      <c r="A8" s="138" t="s">
        <v>132</v>
      </c>
      <c r="B8" s="139">
        <v>1.48211</v>
      </c>
    </row>
    <row r="9" spans="1:2" x14ac:dyDescent="0.25">
      <c r="A9" s="138" t="s">
        <v>133</v>
      </c>
      <c r="B9" s="139">
        <v>1.4641999999999999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INSTRUMENTS DE COUVERTURE</vt:lpstr>
      <vt:lpstr>Tx de change</vt:lpstr>
      <vt:lpstr>'INSTRUMENTS DE COUVERTURE'!Zone_d_impression</vt:lpstr>
    </vt:vector>
  </TitlesOfParts>
  <Company>DomusVi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MEGEMONT Anne</dc:creator>
  <cp:lastModifiedBy>COURAULT Pierre</cp:lastModifiedBy>
  <cp:lastPrinted>2025-02-05T14:58:50Z</cp:lastPrinted>
  <dcterms:created xsi:type="dcterms:W3CDTF">2023-09-29T08:22:05Z</dcterms:created>
  <dcterms:modified xsi:type="dcterms:W3CDTF">2025-08-04T14:51:15Z</dcterms:modified>
</cp:coreProperties>
</file>